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MS\"/>
    </mc:Choice>
  </mc:AlternateContent>
  <xr:revisionPtr revIDLastSave="0" documentId="13_ncr:1_{6CD41318-D5B4-400B-A8D7-92556523BB49}" xr6:coauthVersionLast="36" xr6:coauthVersionMax="36" xr10:uidLastSave="{00000000-0000-0000-0000-000000000000}"/>
  <bookViews>
    <workbookView xWindow="0" yWindow="-48" windowWidth="10056" windowHeight="11700" activeTab="1" xr2:uid="{00000000-000D-0000-FFFF-FFFF00000000}"/>
  </bookViews>
  <sheets>
    <sheet name="EMS Budget" sheetId="6" r:id="rId1"/>
    <sheet name="EMS Projected" sheetId="7" r:id="rId2"/>
  </sheets>
  <definedNames>
    <definedName name="_xlnm.Print_Area" localSheetId="0">'EMS Budget'!$A$1:$X$57</definedName>
    <definedName name="_xlnm.Print_Area" localSheetId="1">'EMS Projected'!$A$1:$W$49</definedName>
  </definedNames>
  <calcPr calcId="191029"/>
</workbook>
</file>

<file path=xl/calcChain.xml><?xml version="1.0" encoding="utf-8"?>
<calcChain xmlns="http://schemas.openxmlformats.org/spreadsheetml/2006/main">
  <c r="U23" i="7" l="1"/>
  <c r="U24" i="7" l="1"/>
  <c r="U33" i="7"/>
  <c r="S21" i="7" l="1"/>
  <c r="S24" i="7"/>
  <c r="U21" i="7"/>
  <c r="U34" i="7"/>
  <c r="S34" i="7"/>
  <c r="R21" i="7"/>
  <c r="R34" i="7"/>
  <c r="R30" i="7"/>
  <c r="R24" i="7"/>
  <c r="R11" i="7"/>
  <c r="T33" i="6" l="1"/>
  <c r="T21" i="6"/>
  <c r="U25" i="7"/>
  <c r="U27" i="7"/>
  <c r="Q33" i="7"/>
  <c r="R26" i="7" l="1"/>
  <c r="T23" i="6" l="1"/>
  <c r="S23" i="7" l="1"/>
  <c r="Q21" i="6" l="1"/>
  <c r="Q21" i="7"/>
  <c r="U37" i="7" l="1"/>
  <c r="W41" i="7" l="1"/>
  <c r="V41" i="7"/>
  <c r="T41" i="7"/>
  <c r="P41" i="7"/>
  <c r="I41" i="7"/>
  <c r="H41" i="7"/>
  <c r="F41" i="7"/>
  <c r="C41" i="7"/>
  <c r="B41" i="7"/>
  <c r="O38" i="7"/>
  <c r="N38" i="7"/>
  <c r="N34" i="7"/>
  <c r="U30" i="7"/>
  <c r="S30" i="7"/>
  <c r="J28" i="7"/>
  <c r="K28" i="7" s="1"/>
  <c r="L28" i="7" s="1"/>
  <c r="E27" i="7"/>
  <c r="J26" i="7"/>
  <c r="K26" i="7" s="1"/>
  <c r="G26" i="7"/>
  <c r="G41" i="7" s="1"/>
  <c r="E25" i="7"/>
  <c r="D25" i="7"/>
  <c r="D41" i="7" s="1"/>
  <c r="Q24" i="7"/>
  <c r="O24" i="7"/>
  <c r="N24" i="7"/>
  <c r="M24" i="7"/>
  <c r="L24" i="7"/>
  <c r="J24" i="7"/>
  <c r="O23" i="7"/>
  <c r="O21" i="7"/>
  <c r="N21" i="7"/>
  <c r="M21" i="7"/>
  <c r="M41" i="7" s="1"/>
  <c r="L21" i="7"/>
  <c r="J21" i="7"/>
  <c r="P18" i="7"/>
  <c r="P43" i="7" s="1"/>
  <c r="P45" i="7" s="1"/>
  <c r="D18" i="7"/>
  <c r="C18" i="7"/>
  <c r="B18" i="7"/>
  <c r="N15" i="7"/>
  <c r="L13" i="7"/>
  <c r="J13" i="7"/>
  <c r="Q11" i="7"/>
  <c r="O11" i="7"/>
  <c r="N11" i="7"/>
  <c r="M11" i="7"/>
  <c r="L11" i="7"/>
  <c r="K11" i="7"/>
  <c r="K18" i="7" s="1"/>
  <c r="J11" i="7"/>
  <c r="I11" i="7"/>
  <c r="E11" i="7"/>
  <c r="Q8" i="7"/>
  <c r="O8" i="7"/>
  <c r="N8" i="7"/>
  <c r="M8" i="7"/>
  <c r="L8" i="7"/>
  <c r="J8" i="7"/>
  <c r="J18" i="7" s="1"/>
  <c r="I8" i="7"/>
  <c r="H8" i="7"/>
  <c r="H18" i="7" s="1"/>
  <c r="G8" i="7"/>
  <c r="G18" i="7" s="1"/>
  <c r="F8" i="7"/>
  <c r="F18" i="7" s="1"/>
  <c r="E8" i="7"/>
  <c r="T34" i="6"/>
  <c r="Q11" i="6"/>
  <c r="Q8" i="6"/>
  <c r="M18" i="7" l="1"/>
  <c r="S41" i="7"/>
  <c r="E18" i="7"/>
  <c r="C43" i="7"/>
  <c r="R18" i="7"/>
  <c r="N18" i="7"/>
  <c r="M43" i="7"/>
  <c r="N41" i="7"/>
  <c r="U41" i="7"/>
  <c r="L18" i="7"/>
  <c r="H43" i="7"/>
  <c r="F43" i="7"/>
  <c r="O41" i="7"/>
  <c r="I18" i="7"/>
  <c r="I43" i="7" s="1"/>
  <c r="Q41" i="7"/>
  <c r="O18" i="7"/>
  <c r="Q18" i="7"/>
  <c r="B43" i="7"/>
  <c r="B45" i="7" s="1"/>
  <c r="C6" i="7" s="1"/>
  <c r="R41" i="7"/>
  <c r="D43" i="7"/>
  <c r="J41" i="7"/>
  <c r="J43" i="7" s="1"/>
  <c r="E41" i="7"/>
  <c r="G43" i="7"/>
  <c r="K41" i="7"/>
  <c r="K43" i="7" s="1"/>
  <c r="L26" i="7"/>
  <c r="L41" i="7" s="1"/>
  <c r="Q24" i="6"/>
  <c r="R24" i="6"/>
  <c r="R23" i="6"/>
  <c r="E43" i="7" l="1"/>
  <c r="R43" i="7"/>
  <c r="C45" i="7"/>
  <c r="D6" i="7" s="1"/>
  <c r="D45" i="7" s="1"/>
  <c r="E6" i="7" s="1"/>
  <c r="Q43" i="7"/>
  <c r="O43" i="7"/>
  <c r="N43" i="7"/>
  <c r="L43" i="7"/>
  <c r="U8" i="7"/>
  <c r="U18" i="7" s="1"/>
  <c r="U43" i="7" s="1"/>
  <c r="S18" i="7"/>
  <c r="S43" i="7" s="1"/>
  <c r="T18" i="7"/>
  <c r="T43" i="7" s="1"/>
  <c r="T45" i="7" s="1"/>
  <c r="V6" i="7" s="1"/>
  <c r="V21" i="6"/>
  <c r="V30" i="6"/>
  <c r="T30" i="6"/>
  <c r="R33" i="6"/>
  <c r="V8" i="6"/>
  <c r="T8" i="6"/>
  <c r="E45" i="7" l="1"/>
  <c r="F6" i="7" s="1"/>
  <c r="F45" i="7" s="1"/>
  <c r="G6" i="7" s="1"/>
  <c r="G45" i="7" s="1"/>
  <c r="H6" i="7" s="1"/>
  <c r="H45" i="7" s="1"/>
  <c r="I6" i="7" s="1"/>
  <c r="I45" i="7" s="1"/>
  <c r="J6" i="7" s="1"/>
  <c r="J45" i="7" s="1"/>
  <c r="K6" i="7" s="1"/>
  <c r="K45" i="7" s="1"/>
  <c r="L6" i="7" s="1"/>
  <c r="L45" i="7" s="1"/>
  <c r="M6" i="7" s="1"/>
  <c r="M45" i="7" s="1"/>
  <c r="N6" i="7" s="1"/>
  <c r="N45" i="7" s="1"/>
  <c r="O6" i="7" s="1"/>
  <c r="O45" i="7" s="1"/>
  <c r="Q6" i="7" s="1"/>
  <c r="Q45" i="7" s="1"/>
  <c r="S6" i="7" s="1"/>
  <c r="S45" i="7" s="1"/>
  <c r="U6" i="7" s="1"/>
  <c r="U45" i="7" s="1"/>
  <c r="W18" i="7"/>
  <c r="W43" i="7" s="1"/>
  <c r="V18" i="7"/>
  <c r="V43" i="7" s="1"/>
  <c r="V45" i="7" s="1"/>
  <c r="W6" i="7" s="1"/>
  <c r="U41" i="6"/>
  <c r="V24" i="6"/>
  <c r="V41" i="6" s="1"/>
  <c r="T24" i="6"/>
  <c r="T41" i="6" s="1"/>
  <c r="T18" i="6"/>
  <c r="V18" i="6"/>
  <c r="P41" i="6"/>
  <c r="Q41" i="6"/>
  <c r="R21" i="6"/>
  <c r="R25" i="6"/>
  <c r="R27" i="6"/>
  <c r="P18" i="6"/>
  <c r="Q18" i="6"/>
  <c r="W45" i="7" l="1"/>
  <c r="P43" i="6"/>
  <c r="P45" i="6" s="1"/>
  <c r="Q43" i="6"/>
  <c r="V43" i="6"/>
  <c r="T43" i="6"/>
  <c r="O11" i="6"/>
  <c r="R35" i="6" l="1"/>
  <c r="R29" i="6"/>
  <c r="O8" i="6" l="1"/>
  <c r="O21" i="6" l="1"/>
  <c r="O24" i="6"/>
  <c r="O23" i="6"/>
  <c r="O37" i="6" l="1"/>
  <c r="O18" i="6" l="1"/>
  <c r="O41" i="6" l="1"/>
  <c r="O43" i="6" s="1"/>
  <c r="M21" i="6"/>
  <c r="N21" i="6" l="1"/>
  <c r="N34" i="6"/>
  <c r="N24" i="6"/>
  <c r="M24" i="6"/>
  <c r="N37" i="6"/>
  <c r="N15" i="6"/>
  <c r="N11" i="6"/>
  <c r="N8" i="6"/>
  <c r="W41" i="6" l="1"/>
  <c r="X41" i="6" l="1"/>
  <c r="R11" i="6" l="1"/>
  <c r="R8" i="6"/>
  <c r="R7" i="6"/>
  <c r="M11" i="6"/>
  <c r="M8" i="6"/>
  <c r="J8" i="6" l="1"/>
  <c r="J11" i="6"/>
  <c r="J13" i="6"/>
  <c r="J21" i="6"/>
  <c r="J24" i="6"/>
  <c r="J26" i="6"/>
  <c r="J28" i="6"/>
  <c r="J41" i="6" l="1"/>
  <c r="J18" i="6"/>
  <c r="J43" i="6" l="1"/>
  <c r="R41" i="6"/>
  <c r="R18" i="6"/>
  <c r="R43" i="6" l="1"/>
  <c r="S13" i="6" l="1"/>
  <c r="U13" i="6" s="1"/>
  <c r="W13" i="6" l="1"/>
  <c r="X13" i="6" s="1"/>
  <c r="U18" i="6"/>
  <c r="U43" i="6" s="1"/>
  <c r="M41" i="6"/>
  <c r="N41" i="6" l="1"/>
  <c r="N18" i="6"/>
  <c r="M18" i="6"/>
  <c r="M43" i="6" s="1"/>
  <c r="L24" i="6"/>
  <c r="L11" i="6"/>
  <c r="L8" i="6"/>
  <c r="S6" i="6" l="1"/>
  <c r="S41" i="6"/>
  <c r="S18" i="6"/>
  <c r="S43" i="6" l="1"/>
  <c r="S45" i="6" s="1"/>
  <c r="U6" i="6" s="1"/>
  <c r="L13" i="6"/>
  <c r="U45" i="6" l="1"/>
  <c r="W18" i="6"/>
  <c r="X18" i="6"/>
  <c r="K11" i="6"/>
  <c r="W43" i="6" l="1"/>
  <c r="X43" i="6"/>
  <c r="N43" i="6"/>
  <c r="C18" i="6" l="1"/>
  <c r="D18" i="6"/>
  <c r="K18" i="6"/>
  <c r="L18" i="6"/>
  <c r="B18" i="6"/>
  <c r="I11" i="6" l="1"/>
  <c r="L21" i="6"/>
  <c r="C41" i="6"/>
  <c r="C43" i="6" s="1"/>
  <c r="F41" i="6"/>
  <c r="H41" i="6"/>
  <c r="I41" i="6"/>
  <c r="B41" i="6"/>
  <c r="B43" i="6" s="1"/>
  <c r="B45" i="6" s="1"/>
  <c r="C6" i="6" s="1"/>
  <c r="I8" i="6"/>
  <c r="H8" i="6"/>
  <c r="H18" i="6" s="1"/>
  <c r="K26" i="6"/>
  <c r="K28" i="6"/>
  <c r="D25" i="6"/>
  <c r="D41" i="6" s="1"/>
  <c r="D43" i="6" s="1"/>
  <c r="E8" i="6"/>
  <c r="E11" i="6"/>
  <c r="E25" i="6"/>
  <c r="E27" i="6"/>
  <c r="F8" i="6"/>
  <c r="F18" i="6" s="1"/>
  <c r="G8" i="6"/>
  <c r="G18" i="6" s="1"/>
  <c r="G26" i="6"/>
  <c r="G41" i="6" s="1"/>
  <c r="H43" i="6" l="1"/>
  <c r="K41" i="6"/>
  <c r="K43" i="6" s="1"/>
  <c r="L26" i="6"/>
  <c r="E41" i="6"/>
  <c r="F43" i="6"/>
  <c r="G43" i="6"/>
  <c r="L28" i="6"/>
  <c r="E18" i="6"/>
  <c r="I18" i="6"/>
  <c r="I43" i="6" s="1"/>
  <c r="C45" i="6"/>
  <c r="D6" i="6" s="1"/>
  <c r="D45" i="6" s="1"/>
  <c r="E6" i="6" s="1"/>
  <c r="L41" i="6" l="1"/>
  <c r="L43" i="6" s="1"/>
  <c r="E43" i="6"/>
  <c r="E45" i="6" s="1"/>
  <c r="F6" i="6" s="1"/>
  <c r="F45" i="6" s="1"/>
  <c r="G6" i="6" s="1"/>
  <c r="G45" i="6" s="1"/>
  <c r="H6" i="6" s="1"/>
  <c r="H45" i="6" s="1"/>
  <c r="I6" i="6" s="1"/>
  <c r="I45" i="6" s="1"/>
  <c r="J6" i="6" l="1"/>
  <c r="J45" i="6" s="1"/>
  <c r="K6" i="6" s="1"/>
  <c r="K45" i="6" s="1"/>
  <c r="L6" i="6" s="1"/>
  <c r="L45" i="6" s="1"/>
  <c r="M6" i="6" s="1"/>
  <c r="M45" i="6" s="1"/>
  <c r="W6" i="6" l="1"/>
  <c r="W45" i="6" s="1"/>
  <c r="X6" i="6" l="1"/>
  <c r="X45" i="6" s="1"/>
  <c r="N6" i="6"/>
  <c r="N45" i="6" s="1"/>
  <c r="O6" i="6" l="1"/>
  <c r="O45" i="6" s="1"/>
  <c r="R6" i="6" l="1"/>
  <c r="R45" i="6" s="1"/>
  <c r="Q6" i="6"/>
  <c r="Q45" i="6" s="1"/>
  <c r="T6" i="6" s="1"/>
  <c r="T45" i="6" l="1"/>
  <c r="V6" i="6" s="1"/>
  <c r="V4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Tawni Helms</author>
  </authors>
  <commentList>
    <comment ref="R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Tawni Helms:</t>
        </r>
        <r>
          <rPr>
            <sz val="9"/>
            <color indexed="81"/>
            <rFont val="Tahoma"/>
            <family val="2"/>
          </rPr>
          <t xml:space="preserve">
Interest Income and Timbers Sales and Excise Taxes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Tawni Helms</author>
  </authors>
  <commentList>
    <comment ref="R11" authorId="0" shapeId="0" xr:uid="{BAD08DF2-F829-4648-82F5-432C4C3FDD49}">
      <text>
        <r>
          <rPr>
            <b/>
            <sz val="9"/>
            <color indexed="81"/>
            <rFont val="Tahoma"/>
            <family val="2"/>
          </rPr>
          <t>Tawni Helms:</t>
        </r>
        <r>
          <rPr>
            <sz val="9"/>
            <color indexed="81"/>
            <rFont val="Tahoma"/>
            <family val="2"/>
          </rPr>
          <t xml:space="preserve">
Interest Income and Timbers Sales and Excise Taxes</t>
        </r>
      </text>
    </comment>
  </commentList>
</comments>
</file>

<file path=xl/sharedStrings.xml><?xml version="1.0" encoding="utf-8"?>
<sst xmlns="http://schemas.openxmlformats.org/spreadsheetml/2006/main" count="140" uniqueCount="59">
  <si>
    <t>Beginning Fund Balance</t>
  </si>
  <si>
    <t xml:space="preserve">   Total Expenditures</t>
  </si>
  <si>
    <t>Ending Fund Balance (EMS)</t>
  </si>
  <si>
    <t>Actual</t>
  </si>
  <si>
    <t xml:space="preserve">Payments </t>
  </si>
  <si>
    <t xml:space="preserve">Sales Tax Revenue </t>
  </si>
  <si>
    <t xml:space="preserve">   Total Revenues</t>
  </si>
  <si>
    <t>Net Revenues/(Expenditures)</t>
  </si>
  <si>
    <t>Payments to FD7</t>
  </si>
  <si>
    <t>Payments to City</t>
  </si>
  <si>
    <t>FEMA Grant Match</t>
  </si>
  <si>
    <t>Dispatch Reimbursement</t>
  </si>
  <si>
    <t>Emergency Medical Service Fees</t>
  </si>
  <si>
    <t>Transfer In from GF</t>
  </si>
  <si>
    <t>EMS Administration Services</t>
  </si>
  <si>
    <t>What-Comm Dispatch</t>
  </si>
  <si>
    <t>EMS Asset Distribution</t>
  </si>
  <si>
    <t>Property Tax</t>
  </si>
  <si>
    <t>Vehicle for EMS Administration</t>
  </si>
  <si>
    <t>Payments to Other Districts</t>
  </si>
  <si>
    <t xml:space="preserve">Strategic Plan </t>
  </si>
  <si>
    <t>Community Paramedic</t>
  </si>
  <si>
    <t>5th Unit Implementation</t>
  </si>
  <si>
    <t># of units</t>
  </si>
  <si>
    <t>Estimated Other Costs:</t>
  </si>
  <si>
    <t>MPD &amp; Pymnts for Other Services</t>
  </si>
  <si>
    <t>Paramedic Training</t>
  </si>
  <si>
    <t xml:space="preserve">Misc Income  </t>
  </si>
  <si>
    <t>Plan</t>
  </si>
  <si>
    <t>Prior Period Adjustment-Sales Tax</t>
  </si>
  <si>
    <t>GEMT Payment</t>
  </si>
  <si>
    <t>Medicaid Transformation Payments</t>
  </si>
  <si>
    <t>Office Remodel</t>
  </si>
  <si>
    <t>Budget</t>
  </si>
  <si>
    <t>Misc. Income includes:  Interest Income, Timber Sales and Excise Taxes</t>
  </si>
  <si>
    <t xml:space="preserve">AFG paramedic training reimb </t>
  </si>
  <si>
    <t>Expected Adjustments</t>
  </si>
  <si>
    <t>5th Unit Training/Equipment</t>
  </si>
  <si>
    <t>Notes:</t>
  </si>
  <si>
    <t>Training Coordinator &amp; Costs</t>
  </si>
  <si>
    <t>Covid Expenses</t>
  </si>
  <si>
    <t>MPD &amp; other services/pymts includes equip. exchange, MPD and other contracted service costs</t>
  </si>
  <si>
    <t>Amended</t>
  </si>
  <si>
    <t>SW maintenance &amp; EPCR acquisition</t>
  </si>
  <si>
    <t>Admin &amp; Current Expense Allocations</t>
  </si>
  <si>
    <t>3rd Community Paramedic budget not in 2022 yet</t>
  </si>
  <si>
    <t>Additional GEMT funds expected</t>
  </si>
  <si>
    <t>Fifth medic unit - contracted services, training, equipment, station remodels</t>
  </si>
  <si>
    <t>Public Safety Radio contribution?</t>
  </si>
  <si>
    <t>Other??</t>
  </si>
  <si>
    <t>Gurneys, Equipment 10 yr lease</t>
  </si>
  <si>
    <t>Unbudgeted modifications to 2021-2022:</t>
  </si>
  <si>
    <t>Projected</t>
  </si>
  <si>
    <t>Stryker principal &amp; interest 2021, entire payment 2022</t>
  </si>
  <si>
    <t>Other revised income projections</t>
  </si>
  <si>
    <t>COUNTYWIDE EMERGENCY MEDICAL SERVICES FUND as of 7/31/21 - PROJECTED</t>
  </si>
  <si>
    <t>COUNTYWIDE EMERGENCY MEDICAL SERVICES FUND as of 7/31/21 - BUDGET</t>
  </si>
  <si>
    <t>Paramedic Class Training</t>
  </si>
  <si>
    <t>Lateral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</si>
</sst>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1" fontId="0" fillId="0" borderId="0" xfId="0" applyNumberFormat="1"/>
    <xf numFmtId="41" fontId="0" fillId="0" borderId="1" xfId="0" applyNumberFormat="1" applyBorder="1"/>
    <xf numFmtId="41" fontId="0" fillId="0" borderId="2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1" fontId="0" fillId="0" borderId="3" xfId="0" applyNumberFormat="1" applyBorder="1"/>
    <xf numFmtId="41" fontId="0" fillId="0" borderId="0" xfId="0" applyNumberFormat="1" applyBorder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Fill="1"/>
    <xf numFmtId="0" fontId="5" fillId="0" borderId="0" xfId="0" applyFont="1" applyFill="1"/>
    <xf numFmtId="41" fontId="0" fillId="0" borderId="1" xfId="0" applyNumberForma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41" fontId="0" fillId="2" borderId="0" xfId="0" applyNumberFormat="1" applyFill="1"/>
    <xf numFmtId="41" fontId="0" fillId="2" borderId="1" xfId="0" applyNumberFormat="1" applyFill="1" applyBorder="1"/>
    <xf numFmtId="41" fontId="0" fillId="2" borderId="3" xfId="0" applyNumberFormat="1" applyFill="1" applyBorder="1"/>
    <xf numFmtId="41" fontId="0" fillId="2" borderId="2" xfId="0" applyNumberFormat="1" applyFill="1" applyBorder="1"/>
    <xf numFmtId="41" fontId="5" fillId="2" borderId="0" xfId="0" applyNumberFormat="1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1" fontId="0" fillId="0" borderId="3" xfId="0" applyNumberFormat="1" applyFill="1" applyBorder="1"/>
    <xf numFmtId="41" fontId="0" fillId="0" borderId="2" xfId="0" applyNumberForma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3" xfId="0" applyNumberFormat="1" applyFill="1" applyBorder="1"/>
    <xf numFmtId="41" fontId="0" fillId="3" borderId="2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1" fontId="0" fillId="3" borderId="5" xfId="0" applyNumberFormat="1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41" fontId="0" fillId="3" borderId="4" xfId="0" applyNumberFormat="1" applyFill="1" applyBorder="1"/>
    <xf numFmtId="0" fontId="3" fillId="2" borderId="0" xfId="0" applyFont="1" applyFill="1" applyAlignment="1">
      <alignment horizontal="center"/>
    </xf>
    <xf numFmtId="41" fontId="0" fillId="3" borderId="9" xfId="0" applyNumberFormat="1" applyFill="1" applyBorder="1"/>
    <xf numFmtId="41" fontId="0" fillId="3" borderId="8" xfId="0" applyNumberFormat="1" applyFill="1" applyBorder="1"/>
    <xf numFmtId="43" fontId="0" fillId="0" borderId="0" xfId="0" applyNumberFormat="1"/>
    <xf numFmtId="1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1" fontId="5" fillId="0" borderId="0" xfId="0" applyNumberFormat="1" applyFont="1" applyFill="1"/>
    <xf numFmtId="0" fontId="8" fillId="0" borderId="0" xfId="0" applyFont="1"/>
    <xf numFmtId="41" fontId="0" fillId="0" borderId="10" xfId="0" applyNumberFormat="1" applyBorder="1"/>
    <xf numFmtId="41" fontId="0" fillId="0" borderId="10" xfId="0" applyNumberFormat="1" applyFill="1" applyBorder="1"/>
    <xf numFmtId="41" fontId="0" fillId="2" borderId="10" xfId="0" applyNumberFormat="1" applyFill="1" applyBorder="1"/>
    <xf numFmtId="41" fontId="0" fillId="3" borderId="10" xfId="0" applyNumberFormat="1" applyFill="1" applyBorder="1"/>
    <xf numFmtId="41" fontId="0" fillId="3" borderId="1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7"/>
  <sheetViews>
    <sheetView zoomScale="98" zoomScaleNormal="98" workbookViewId="0">
      <selection activeCell="A2" sqref="A2"/>
    </sheetView>
  </sheetViews>
  <sheetFormatPr defaultRowHeight="13.2" x14ac:dyDescent="0.25"/>
  <cols>
    <col min="1" max="1" width="30" customWidth="1"/>
    <col min="2" max="2" width="10.33203125" hidden="1" customWidth="1"/>
    <col min="3" max="10" width="10.88671875" hidden="1" customWidth="1"/>
    <col min="11" max="11" width="11.33203125" hidden="1" customWidth="1"/>
    <col min="12" max="12" width="10.88671875" bestFit="1" customWidth="1"/>
    <col min="13" max="13" width="11.33203125" customWidth="1"/>
    <col min="14" max="14" width="11.88671875" style="12" bestFit="1" customWidth="1"/>
    <col min="15" max="15" width="11.88671875" style="12" customWidth="1"/>
    <col min="16" max="16" width="11.88671875" hidden="1" customWidth="1"/>
    <col min="17" max="17" width="11.88671875" style="12" customWidth="1"/>
    <col min="18" max="19" width="11.88671875" hidden="1" customWidth="1"/>
    <col min="20" max="20" width="11.88671875" customWidth="1"/>
    <col min="21" max="21" width="11.88671875" bestFit="1" customWidth="1"/>
    <col min="22" max="22" width="11.88671875" customWidth="1"/>
    <col min="23" max="24" width="11.88671875" bestFit="1" customWidth="1"/>
    <col min="26" max="26" width="13.109375" bestFit="1" customWidth="1"/>
  </cols>
  <sheetData>
    <row r="1" spans="1:26" ht="17.399999999999999" x14ac:dyDescent="0.3">
      <c r="A1" s="6" t="s">
        <v>56</v>
      </c>
    </row>
    <row r="2" spans="1:26" x14ac:dyDescent="0.25">
      <c r="A2" s="17" t="s">
        <v>23</v>
      </c>
      <c r="J2" s="18"/>
      <c r="K2" s="18">
        <v>4</v>
      </c>
      <c r="L2" s="18">
        <v>4</v>
      </c>
      <c r="M2" s="18">
        <v>4</v>
      </c>
      <c r="N2" s="26">
        <v>4</v>
      </c>
      <c r="O2" s="26">
        <v>4</v>
      </c>
      <c r="P2" s="33">
        <v>4</v>
      </c>
      <c r="Q2" s="26">
        <v>4</v>
      </c>
      <c r="R2" s="31">
        <v>4</v>
      </c>
      <c r="S2" s="33">
        <v>4.5</v>
      </c>
      <c r="T2" s="31">
        <v>4</v>
      </c>
      <c r="U2" s="33">
        <v>4.5</v>
      </c>
      <c r="V2" s="31">
        <v>4</v>
      </c>
      <c r="W2" s="33">
        <v>5</v>
      </c>
      <c r="X2" s="41">
        <v>5</v>
      </c>
    </row>
    <row r="3" spans="1:26" x14ac:dyDescent="0.25">
      <c r="A3" s="7"/>
      <c r="J3" s="4"/>
      <c r="M3" s="4"/>
      <c r="N3" s="27"/>
      <c r="O3" s="27"/>
      <c r="P3" s="34"/>
      <c r="R3" s="32" t="s">
        <v>42</v>
      </c>
      <c r="S3" s="34"/>
      <c r="T3" s="19"/>
      <c r="U3" s="34"/>
      <c r="V3" s="19"/>
      <c r="W3" s="34"/>
      <c r="X3" s="42"/>
    </row>
    <row r="4" spans="1:26" x14ac:dyDescent="0.25"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16" t="s">
        <v>3</v>
      </c>
      <c r="M4" s="4" t="s">
        <v>3</v>
      </c>
      <c r="N4" s="27" t="s">
        <v>3</v>
      </c>
      <c r="O4" s="27" t="s">
        <v>3</v>
      </c>
      <c r="P4" s="35" t="s">
        <v>28</v>
      </c>
      <c r="Q4" s="27" t="s">
        <v>3</v>
      </c>
      <c r="R4" s="32" t="s">
        <v>33</v>
      </c>
      <c r="S4" s="35" t="s">
        <v>28</v>
      </c>
      <c r="T4" s="32" t="s">
        <v>33</v>
      </c>
      <c r="U4" s="35" t="s">
        <v>28</v>
      </c>
      <c r="V4" s="32" t="s">
        <v>33</v>
      </c>
      <c r="W4" s="35" t="s">
        <v>28</v>
      </c>
      <c r="X4" s="43" t="s">
        <v>28</v>
      </c>
    </row>
    <row r="5" spans="1:26" ht="25.5" customHeight="1" x14ac:dyDescent="0.25">
      <c r="B5" s="5">
        <v>2006</v>
      </c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5">
        <v>2012</v>
      </c>
      <c r="I5" s="5">
        <v>2013</v>
      </c>
      <c r="J5" s="5">
        <v>2014</v>
      </c>
      <c r="K5" s="5">
        <v>2015</v>
      </c>
      <c r="L5" s="15">
        <v>2016</v>
      </c>
      <c r="M5" s="5">
        <v>2017</v>
      </c>
      <c r="N5" s="28">
        <v>2018</v>
      </c>
      <c r="O5" s="28">
        <v>2019</v>
      </c>
      <c r="P5" s="28">
        <v>2019</v>
      </c>
      <c r="Q5" s="28">
        <v>2020</v>
      </c>
      <c r="R5" s="20">
        <v>2020</v>
      </c>
      <c r="S5" s="36">
        <v>2020</v>
      </c>
      <c r="T5" s="49">
        <v>2021</v>
      </c>
      <c r="U5" s="36">
        <v>2021</v>
      </c>
      <c r="V5" s="49">
        <v>2022</v>
      </c>
      <c r="W5" s="36">
        <v>2022</v>
      </c>
      <c r="X5" s="44">
        <v>2023</v>
      </c>
    </row>
    <row r="6" spans="1:26" x14ac:dyDescent="0.25">
      <c r="A6" t="s">
        <v>0</v>
      </c>
      <c r="B6" s="1">
        <v>0</v>
      </c>
      <c r="C6" s="1">
        <f t="shared" ref="C6:H6" si="0">B45</f>
        <v>1226799</v>
      </c>
      <c r="D6" s="1">
        <f t="shared" si="0"/>
        <v>2210340</v>
      </c>
      <c r="E6" s="1">
        <f t="shared" si="0"/>
        <v>3675925.41</v>
      </c>
      <c r="F6" s="1">
        <f t="shared" si="0"/>
        <v>3946759.52</v>
      </c>
      <c r="G6" s="1">
        <f t="shared" si="0"/>
        <v>4150142.28</v>
      </c>
      <c r="H6" s="1">
        <f t="shared" si="0"/>
        <v>4209207.0299999993</v>
      </c>
      <c r="I6" s="1">
        <f t="shared" ref="I6:N6" si="1">H45</f>
        <v>3991104.0199999996</v>
      </c>
      <c r="J6" s="1">
        <f t="shared" si="1"/>
        <v>3199633.76</v>
      </c>
      <c r="K6" s="1">
        <f t="shared" si="1"/>
        <v>1698172.5899999999</v>
      </c>
      <c r="L6" s="1">
        <f t="shared" si="1"/>
        <v>1298089.8899999997</v>
      </c>
      <c r="M6" s="1">
        <f t="shared" si="1"/>
        <v>131445.04000000004</v>
      </c>
      <c r="N6" s="10">
        <f t="shared" si="1"/>
        <v>3704361.9899999993</v>
      </c>
      <c r="O6" s="10">
        <f>N45</f>
        <v>7452346.1100000003</v>
      </c>
      <c r="P6" s="37">
        <v>5485529</v>
      </c>
      <c r="Q6" s="10">
        <f>O45</f>
        <v>14092214.48</v>
      </c>
      <c r="R6" s="21">
        <f>O45</f>
        <v>14092214.48</v>
      </c>
      <c r="S6" s="37">
        <f>P45</f>
        <v>8083895</v>
      </c>
      <c r="T6" s="21">
        <f>Q45</f>
        <v>18757331.899999999</v>
      </c>
      <c r="U6" s="37">
        <f>S45</f>
        <v>9603688</v>
      </c>
      <c r="V6" s="21">
        <f>T45</f>
        <v>19506411.899999999</v>
      </c>
      <c r="W6" s="37">
        <f>U45</f>
        <v>11003317</v>
      </c>
      <c r="X6" s="45">
        <f t="shared" ref="X6" si="2">W45</f>
        <v>11244834</v>
      </c>
    </row>
    <row r="7" spans="1:26" x14ac:dyDescent="0.25">
      <c r="A7" s="17" t="s">
        <v>17</v>
      </c>
      <c r="B7" s="1"/>
      <c r="C7" s="1"/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7768502.3600000003</v>
      </c>
      <c r="N7" s="10">
        <v>8009642</v>
      </c>
      <c r="O7" s="10">
        <v>8141190</v>
      </c>
      <c r="P7" s="37">
        <v>7847046</v>
      </c>
      <c r="Q7" s="10">
        <v>8294851.9100000001</v>
      </c>
      <c r="R7" s="21">
        <f>8175811+50000+15000+15000</f>
        <v>8255811</v>
      </c>
      <c r="S7" s="37">
        <v>7925847</v>
      </c>
      <c r="T7" s="21">
        <v>8222500</v>
      </c>
      <c r="U7" s="37">
        <v>8003878</v>
      </c>
      <c r="V7" s="21">
        <v>8335331</v>
      </c>
      <c r="W7" s="37">
        <v>8081132</v>
      </c>
      <c r="X7" s="45">
        <v>8157603</v>
      </c>
    </row>
    <row r="8" spans="1:26" x14ac:dyDescent="0.25">
      <c r="A8" t="s">
        <v>5</v>
      </c>
      <c r="B8" s="1">
        <v>1226799</v>
      </c>
      <c r="C8" s="1">
        <v>2025753</v>
      </c>
      <c r="D8" s="1">
        <v>2213678</v>
      </c>
      <c r="E8" s="1">
        <f>1138355+755143</f>
        <v>1893498</v>
      </c>
      <c r="F8" s="1">
        <f>1154107+765593</f>
        <v>1919700</v>
      </c>
      <c r="G8" s="1">
        <f>2014213</f>
        <v>2014213</v>
      </c>
      <c r="H8" s="1">
        <f>2040986+70902.54</f>
        <v>2111888.54</v>
      </c>
      <c r="I8" s="1">
        <f>1345891+892780</f>
        <v>2238671</v>
      </c>
      <c r="J8" s="1">
        <f>1369617+908507</f>
        <v>2278124</v>
      </c>
      <c r="K8" s="1">
        <v>2385129.94</v>
      </c>
      <c r="L8" s="10">
        <f>1487501+986717</f>
        <v>2474218</v>
      </c>
      <c r="M8" s="1">
        <f>1630744.97+745262.9+43424.41+22836.47+116378.1+117521.38+12955.29+13324.19</f>
        <v>2702447.7100000004</v>
      </c>
      <c r="N8" s="10">
        <f>1771356+3108884-1946512</f>
        <v>2933728</v>
      </c>
      <c r="O8" s="10">
        <f>1883865+3419778-2186796</f>
        <v>3116847</v>
      </c>
      <c r="P8" s="37">
        <v>2632737</v>
      </c>
      <c r="Q8" s="10">
        <f>1832748.79+2878567.03-Q13</f>
        <v>3041184.0500000003</v>
      </c>
      <c r="R8" s="21">
        <f>1898996+875306+51224+26546+135958+137479+15039+15857</f>
        <v>3156405</v>
      </c>
      <c r="S8" s="37">
        <v>2698556</v>
      </c>
      <c r="T8" s="21">
        <f>1728595+1134345</f>
        <v>2862940</v>
      </c>
      <c r="U8" s="37">
        <v>2766020</v>
      </c>
      <c r="V8" s="21">
        <f>1815025+1191060</f>
        <v>3006085</v>
      </c>
      <c r="W8" s="37">
        <v>2835170</v>
      </c>
      <c r="X8" s="45">
        <v>2906049</v>
      </c>
    </row>
    <row r="9" spans="1:26" x14ac:dyDescent="0.25">
      <c r="A9" t="s">
        <v>29</v>
      </c>
      <c r="B9" s="1"/>
      <c r="C9" s="1"/>
      <c r="D9" s="1"/>
      <c r="E9" s="1"/>
      <c r="F9" s="1"/>
      <c r="G9" s="1"/>
      <c r="H9" s="1"/>
      <c r="I9" s="1"/>
      <c r="J9" s="1">
        <v>0</v>
      </c>
      <c r="K9" s="1">
        <v>0</v>
      </c>
      <c r="L9" s="10">
        <v>0</v>
      </c>
      <c r="M9" s="1">
        <v>278252.77</v>
      </c>
      <c r="N9" s="10">
        <v>0</v>
      </c>
      <c r="O9" s="10"/>
      <c r="P9" s="37">
        <v>0</v>
      </c>
      <c r="Q9" s="10">
        <v>0</v>
      </c>
      <c r="R9" s="21">
        <v>0</v>
      </c>
      <c r="S9" s="37">
        <v>0</v>
      </c>
      <c r="T9" s="21">
        <v>0</v>
      </c>
      <c r="U9" s="37">
        <v>0</v>
      </c>
      <c r="V9" s="21">
        <v>0</v>
      </c>
      <c r="W9" s="37">
        <v>0</v>
      </c>
      <c r="X9" s="45">
        <v>0</v>
      </c>
    </row>
    <row r="10" spans="1:26" x14ac:dyDescent="0.25">
      <c r="A10" s="17" t="s">
        <v>35</v>
      </c>
      <c r="B10" s="1"/>
      <c r="C10" s="1"/>
      <c r="D10" s="1"/>
      <c r="E10" s="1"/>
      <c r="F10" s="1"/>
      <c r="G10" s="1"/>
      <c r="H10" s="1"/>
      <c r="I10" s="1"/>
      <c r="J10" s="1">
        <v>0</v>
      </c>
      <c r="K10" s="1">
        <v>0</v>
      </c>
      <c r="L10" s="10">
        <v>0</v>
      </c>
      <c r="M10" s="1">
        <v>0</v>
      </c>
      <c r="N10" s="10">
        <v>0</v>
      </c>
      <c r="O10" s="10">
        <v>57427</v>
      </c>
      <c r="P10" s="37">
        <v>0</v>
      </c>
      <c r="Q10" s="10">
        <v>0</v>
      </c>
      <c r="R10" s="21">
        <v>0</v>
      </c>
      <c r="S10" s="37">
        <v>0</v>
      </c>
      <c r="T10" s="21">
        <v>41900</v>
      </c>
      <c r="U10" s="37">
        <v>0</v>
      </c>
      <c r="V10" s="21">
        <v>0</v>
      </c>
      <c r="W10" s="37">
        <v>0</v>
      </c>
      <c r="X10" s="45">
        <v>0</v>
      </c>
    </row>
    <row r="11" spans="1:26" x14ac:dyDescent="0.25">
      <c r="A11" s="17" t="s">
        <v>27</v>
      </c>
      <c r="B11" s="9">
        <v>0</v>
      </c>
      <c r="C11" s="9">
        <v>0</v>
      </c>
      <c r="D11" s="9">
        <v>0</v>
      </c>
      <c r="E11" s="9">
        <f>139166.72+86335.99</f>
        <v>225502.71000000002</v>
      </c>
      <c r="F11" s="9">
        <v>52462.98</v>
      </c>
      <c r="G11" s="11">
        <v>35407</v>
      </c>
      <c r="H11" s="11">
        <v>22330.45</v>
      </c>
      <c r="I11" s="9">
        <f>13934.74-16080+2543</f>
        <v>397.73999999999978</v>
      </c>
      <c r="J11" s="11">
        <f>8903+12040-1</f>
        <v>20942</v>
      </c>
      <c r="K11" s="11">
        <f>8163.03+7598.92-877</f>
        <v>14884.95</v>
      </c>
      <c r="L11" s="11">
        <f>5042.52+125</f>
        <v>5167.5200000000004</v>
      </c>
      <c r="M11" s="1">
        <f>73.69+56278.47+34350.41+5836.72+972.78+1147.14+34219.34-41981+721.7-1.93+1300.02+30819.65</f>
        <v>123736.98999999999</v>
      </c>
      <c r="N11" s="10">
        <f>109861+282+77878+1125+98196</f>
        <v>287342</v>
      </c>
      <c r="O11" s="10">
        <f>625+268287+397+120494+105827</f>
        <v>495630</v>
      </c>
      <c r="P11" s="37">
        <v>5000</v>
      </c>
      <c r="Q11" s="10">
        <f>346375.12+146.84+191509.49</f>
        <v>538031.44999999995</v>
      </c>
      <c r="R11" s="21">
        <f>55000+35000+250+500+35000+1000+40000</f>
        <v>166750</v>
      </c>
      <c r="S11" s="37">
        <v>5000</v>
      </c>
      <c r="T11" s="21">
        <v>165000</v>
      </c>
      <c r="U11" s="37">
        <v>5000</v>
      </c>
      <c r="V11" s="21">
        <v>165000</v>
      </c>
      <c r="W11" s="37">
        <v>5000</v>
      </c>
      <c r="X11" s="45">
        <v>5000</v>
      </c>
    </row>
    <row r="12" spans="1:26" x14ac:dyDescent="0.25">
      <c r="A12" t="s">
        <v>11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1">
        <v>275931</v>
      </c>
      <c r="K12" s="11">
        <v>301193</v>
      </c>
      <c r="L12" s="11">
        <v>275291</v>
      </c>
      <c r="M12" s="1">
        <v>0</v>
      </c>
      <c r="N12" s="10">
        <v>0</v>
      </c>
      <c r="O12" s="10">
        <v>0</v>
      </c>
      <c r="P12" s="37">
        <v>0</v>
      </c>
      <c r="Q12" s="10">
        <v>0</v>
      </c>
      <c r="R12" s="21">
        <v>0</v>
      </c>
      <c r="S12" s="37">
        <v>0</v>
      </c>
      <c r="T12" s="21">
        <v>0</v>
      </c>
      <c r="U12" s="37">
        <v>0</v>
      </c>
      <c r="V12" s="21">
        <v>0</v>
      </c>
      <c r="W12" s="37">
        <v>0</v>
      </c>
      <c r="X12" s="45">
        <v>0</v>
      </c>
    </row>
    <row r="13" spans="1:26" x14ac:dyDescent="0.25">
      <c r="A13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1">
        <f>1862680+237004.83</f>
        <v>2099684.83</v>
      </c>
      <c r="K13" s="11">
        <v>2307184.11</v>
      </c>
      <c r="L13" s="11">
        <f>1986783.83+52354.29+138269.84</f>
        <v>2177407.96</v>
      </c>
      <c r="M13" s="10">
        <v>1967904.46</v>
      </c>
      <c r="N13" s="10">
        <v>1946512</v>
      </c>
      <c r="O13" s="10">
        <v>2186796</v>
      </c>
      <c r="P13" s="37">
        <v>2300000</v>
      </c>
      <c r="Q13" s="10">
        <v>1670131.77</v>
      </c>
      <c r="R13" s="21">
        <v>2000000</v>
      </c>
      <c r="S13" s="37">
        <f>P13</f>
        <v>2300000</v>
      </c>
      <c r="T13" s="21">
        <v>2000000</v>
      </c>
      <c r="U13" s="37">
        <f>S13</f>
        <v>2300000</v>
      </c>
      <c r="V13" s="21">
        <v>2000000</v>
      </c>
      <c r="W13" s="37">
        <f>U13</f>
        <v>2300000</v>
      </c>
      <c r="X13" s="45">
        <f t="shared" ref="X13" si="3">W13</f>
        <v>2300000</v>
      </c>
    </row>
    <row r="14" spans="1:26" x14ac:dyDescent="0.25">
      <c r="A14" t="s">
        <v>30</v>
      </c>
      <c r="B14" s="9"/>
      <c r="C14" s="9"/>
      <c r="D14" s="9"/>
      <c r="E14" s="9"/>
      <c r="F14" s="9"/>
      <c r="G14" s="9"/>
      <c r="H14" s="9"/>
      <c r="I14" s="9"/>
      <c r="J14" s="11">
        <v>0</v>
      </c>
      <c r="K14" s="11">
        <v>0</v>
      </c>
      <c r="L14" s="11">
        <v>0</v>
      </c>
      <c r="M14" s="10">
        <v>0</v>
      </c>
      <c r="N14" s="10">
        <v>641201</v>
      </c>
      <c r="O14" s="10">
        <v>4001410</v>
      </c>
      <c r="P14" s="37">
        <v>0</v>
      </c>
      <c r="Q14" s="10">
        <v>3340864.91</v>
      </c>
      <c r="R14" s="21">
        <v>1600000</v>
      </c>
      <c r="S14" s="37">
        <v>0</v>
      </c>
      <c r="T14" s="21">
        <v>1450000</v>
      </c>
      <c r="U14" s="37">
        <v>0</v>
      </c>
      <c r="V14" s="21">
        <v>1450000</v>
      </c>
      <c r="W14" s="37">
        <v>0</v>
      </c>
      <c r="X14" s="45">
        <v>0</v>
      </c>
      <c r="Z14" s="52"/>
    </row>
    <row r="15" spans="1:26" x14ac:dyDescent="0.25">
      <c r="A15" t="s">
        <v>31</v>
      </c>
      <c r="B15" s="9"/>
      <c r="C15" s="9"/>
      <c r="D15" s="9"/>
      <c r="E15" s="9"/>
      <c r="F15" s="9"/>
      <c r="G15" s="9"/>
      <c r="H15" s="9"/>
      <c r="I15" s="9"/>
      <c r="J15" s="11">
        <v>0</v>
      </c>
      <c r="K15" s="11">
        <v>0</v>
      </c>
      <c r="L15" s="11">
        <v>0</v>
      </c>
      <c r="M15" s="10">
        <v>0</v>
      </c>
      <c r="N15" s="10">
        <f>28000+52000</f>
        <v>80000</v>
      </c>
      <c r="O15" s="10">
        <v>100000</v>
      </c>
      <c r="P15" s="37">
        <v>0</v>
      </c>
      <c r="Q15" s="10">
        <v>0</v>
      </c>
      <c r="R15" s="21">
        <v>0</v>
      </c>
      <c r="S15" s="37">
        <v>0</v>
      </c>
      <c r="T15" s="21">
        <v>0</v>
      </c>
      <c r="U15" s="37">
        <v>0</v>
      </c>
      <c r="V15" s="21">
        <v>0</v>
      </c>
      <c r="W15" s="50">
        <v>0</v>
      </c>
      <c r="X15" s="37">
        <v>0</v>
      </c>
    </row>
    <row r="16" spans="1:26" x14ac:dyDescent="0.25">
      <c r="A16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1433000</v>
      </c>
      <c r="K16" s="9">
        <v>1385299</v>
      </c>
      <c r="L16" s="9">
        <v>1380737</v>
      </c>
      <c r="M16" s="1">
        <v>0</v>
      </c>
      <c r="N16" s="10">
        <v>0</v>
      </c>
      <c r="O16" s="10">
        <v>0</v>
      </c>
      <c r="P16" s="37">
        <v>0</v>
      </c>
      <c r="Q16" s="10">
        <v>0</v>
      </c>
      <c r="R16" s="21">
        <v>0</v>
      </c>
      <c r="S16" s="37">
        <v>0</v>
      </c>
      <c r="T16" s="21">
        <v>0</v>
      </c>
      <c r="U16" s="37">
        <v>0</v>
      </c>
      <c r="V16" s="21">
        <v>0</v>
      </c>
      <c r="W16" s="50">
        <v>0</v>
      </c>
      <c r="X16" s="37">
        <v>0</v>
      </c>
    </row>
    <row r="17" spans="1:26" x14ac:dyDescent="0.25">
      <c r="A17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4">
        <v>0</v>
      </c>
      <c r="K17" s="14">
        <v>363425.3</v>
      </c>
      <c r="L17" s="14">
        <v>0</v>
      </c>
      <c r="M17" s="2">
        <v>0</v>
      </c>
      <c r="N17" s="14">
        <v>0</v>
      </c>
      <c r="O17" s="14">
        <v>0</v>
      </c>
      <c r="P17" s="38">
        <v>0</v>
      </c>
      <c r="Q17" s="14">
        <v>0</v>
      </c>
      <c r="R17" s="22">
        <v>0</v>
      </c>
      <c r="S17" s="38">
        <v>0</v>
      </c>
      <c r="T17" s="22">
        <v>0</v>
      </c>
      <c r="U17" s="38">
        <v>0</v>
      </c>
      <c r="V17" s="22">
        <v>0</v>
      </c>
      <c r="W17" s="51">
        <v>0</v>
      </c>
      <c r="X17" s="38">
        <v>0</v>
      </c>
    </row>
    <row r="18" spans="1:26" x14ac:dyDescent="0.25">
      <c r="A18" t="s">
        <v>6</v>
      </c>
      <c r="B18" s="9">
        <f t="shared" ref="B18:L18" si="4">SUM(B8:B17)</f>
        <v>1226799</v>
      </c>
      <c r="C18" s="9">
        <f t="shared" si="4"/>
        <v>2025753</v>
      </c>
      <c r="D18" s="9">
        <f t="shared" si="4"/>
        <v>2213678</v>
      </c>
      <c r="E18" s="9">
        <f t="shared" si="4"/>
        <v>2119000.71</v>
      </c>
      <c r="F18" s="9">
        <f t="shared" si="4"/>
        <v>1972162.98</v>
      </c>
      <c r="G18" s="9">
        <f t="shared" si="4"/>
        <v>2049620</v>
      </c>
      <c r="H18" s="9">
        <f t="shared" si="4"/>
        <v>2134218.9900000002</v>
      </c>
      <c r="I18" s="9">
        <f t="shared" si="4"/>
        <v>2239068.7400000002</v>
      </c>
      <c r="J18" s="9">
        <f t="shared" si="4"/>
        <v>6107681.8300000001</v>
      </c>
      <c r="K18" s="9">
        <f t="shared" si="4"/>
        <v>6757116.2999999998</v>
      </c>
      <c r="L18" s="9">
        <f t="shared" si="4"/>
        <v>6312821.4800000004</v>
      </c>
      <c r="M18" s="1">
        <f t="shared" ref="M18:X18" si="5">SUM(M7:M17)</f>
        <v>12840844.289999999</v>
      </c>
      <c r="N18" s="10">
        <f t="shared" si="5"/>
        <v>13898425</v>
      </c>
      <c r="O18" s="10">
        <f t="shared" si="5"/>
        <v>18099300</v>
      </c>
      <c r="P18" s="10">
        <f t="shared" si="5"/>
        <v>12784783</v>
      </c>
      <c r="Q18" s="10">
        <f t="shared" si="5"/>
        <v>16885064.09</v>
      </c>
      <c r="R18" s="21">
        <f t="shared" si="5"/>
        <v>15178966</v>
      </c>
      <c r="S18" s="37">
        <f t="shared" si="5"/>
        <v>12929403</v>
      </c>
      <c r="T18" s="21">
        <f t="shared" si="5"/>
        <v>14742340</v>
      </c>
      <c r="U18" s="37">
        <f t="shared" si="5"/>
        <v>13074898</v>
      </c>
      <c r="V18" s="21">
        <f t="shared" si="5"/>
        <v>14956416</v>
      </c>
      <c r="W18" s="37">
        <f t="shared" si="5"/>
        <v>13221302</v>
      </c>
      <c r="X18" s="45">
        <f t="shared" si="5"/>
        <v>13368652</v>
      </c>
    </row>
    <row r="19" spans="1:26" x14ac:dyDescent="0.25">
      <c r="B19" s="1"/>
      <c r="C19" s="1"/>
      <c r="D19" s="1"/>
      <c r="E19" s="1"/>
      <c r="I19" s="1"/>
      <c r="J19" s="1"/>
      <c r="P19" s="37"/>
      <c r="Q19" s="10"/>
      <c r="R19" s="21"/>
      <c r="S19" s="37"/>
      <c r="T19" s="21"/>
      <c r="U19" s="37"/>
      <c r="V19" s="21"/>
      <c r="W19" s="37"/>
      <c r="X19" s="45"/>
    </row>
    <row r="20" spans="1:26" x14ac:dyDescent="0.25">
      <c r="A20" t="s">
        <v>4</v>
      </c>
      <c r="B20" s="1"/>
      <c r="C20" s="1"/>
      <c r="D20" s="1"/>
      <c r="E20" s="1"/>
      <c r="F20" s="1"/>
      <c r="I20" s="1"/>
      <c r="J20" s="1"/>
      <c r="P20" s="37"/>
      <c r="Q20" s="10"/>
      <c r="R20" s="21"/>
      <c r="S20" s="37"/>
      <c r="T20" s="21"/>
      <c r="U20" s="37"/>
      <c r="V20" s="21"/>
      <c r="W20" s="37"/>
      <c r="X20" s="45"/>
    </row>
    <row r="21" spans="1:26" x14ac:dyDescent="0.25">
      <c r="A21" t="s">
        <v>14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>-8112-3605</f>
        <v>-11717</v>
      </c>
      <c r="K21" s="1">
        <v>0</v>
      </c>
      <c r="L21" s="1">
        <f>K21</f>
        <v>0</v>
      </c>
      <c r="M21" s="1">
        <f>-2319.19-844-303.64-1</f>
        <v>-3467.83</v>
      </c>
      <c r="N21" s="10">
        <f>-138657+13292-43264-11510-877-5251-67-2030-129-674-20-33907+32071</f>
        <v>-191023</v>
      </c>
      <c r="O21" s="10">
        <f>-187902.7+3125.37-75378.78-4661.33-330-7633.21-189.78+190.85-9216.81-18865.35+9990.69-1540-500-4</f>
        <v>-292915.05000000005</v>
      </c>
      <c r="P21" s="37">
        <v>-268274</v>
      </c>
      <c r="Q21" s="10">
        <f>-192447.84-78175.49-21266.08+5663.7+1887.9+1887.9-6254.12-605-509913.46+509060-3960-2811.96-1286-9606.31+324.94+2685.23+1359.13+1376.88-840-258-4070.85+4035.6+4</f>
        <v>-303209.83</v>
      </c>
      <c r="R21" s="21">
        <f>-11000-183061-26181-13309-31128-3177-1248-609-4000-1000-2040-8268-1520-3000-5000-1000-3960-3600-1286-2000-500</f>
        <v>-306887</v>
      </c>
      <c r="S21" s="37">
        <v>-274538</v>
      </c>
      <c r="T21" s="21">
        <f>-197621-81396-3000-1000-2040-1000-1520-3000-3000-1000-1000-3960-3000-3523-2000-500</f>
        <v>-308560</v>
      </c>
      <c r="U21" s="37">
        <v>-280949</v>
      </c>
      <c r="V21" s="21">
        <f>-199000-28027-15223-33305-3384-1248-517-3000-1000-2040-1000-1520-3000-3000-1000-1000-3960-3000-3523-2000-500</f>
        <v>-310247</v>
      </c>
      <c r="W21" s="37">
        <v>-287509</v>
      </c>
      <c r="X21" s="45">
        <v>-294222</v>
      </c>
    </row>
    <row r="22" spans="1:26" x14ac:dyDescent="0.25">
      <c r="A2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0">
        <v>-32071</v>
      </c>
      <c r="O22" s="10">
        <v>0</v>
      </c>
      <c r="P22" s="37">
        <v>0</v>
      </c>
      <c r="Q22" s="10"/>
      <c r="R22" s="21">
        <v>0</v>
      </c>
      <c r="S22" s="37">
        <v>0</v>
      </c>
      <c r="T22" s="21">
        <v>0</v>
      </c>
      <c r="U22" s="37">
        <v>0</v>
      </c>
      <c r="V22" s="21">
        <v>0</v>
      </c>
      <c r="W22" s="37">
        <v>0</v>
      </c>
      <c r="X22" s="45">
        <v>0</v>
      </c>
    </row>
    <row r="23" spans="1:26" x14ac:dyDescent="0.25">
      <c r="A23" s="17" t="s">
        <v>43</v>
      </c>
      <c r="B23" s="1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0">
        <v>-79399.289999999994</v>
      </c>
      <c r="O23" s="10">
        <f>-64936.61-120040.61+189.78</f>
        <v>-184787.44</v>
      </c>
      <c r="P23" s="37">
        <v>-92102</v>
      </c>
      <c r="Q23" s="10">
        <v>-117274</v>
      </c>
      <c r="R23" s="21">
        <f>-150000-5596</f>
        <v>-155596</v>
      </c>
      <c r="S23" s="37">
        <v>-94253</v>
      </c>
      <c r="T23" s="21">
        <f>-120000-60000</f>
        <v>-180000</v>
      </c>
      <c r="U23" s="37">
        <v>-96454</v>
      </c>
      <c r="V23" s="21">
        <v>-120000</v>
      </c>
      <c r="W23" s="37">
        <v>-98706</v>
      </c>
      <c r="X23" s="45">
        <v>-101011</v>
      </c>
    </row>
    <row r="24" spans="1:26" x14ac:dyDescent="0.25">
      <c r="A24" s="17" t="s">
        <v>25</v>
      </c>
      <c r="B24" s="1">
        <v>0</v>
      </c>
      <c r="C24" s="1">
        <v>0</v>
      </c>
      <c r="D24" s="1">
        <v>0</v>
      </c>
      <c r="E24" s="1">
        <v>0</v>
      </c>
      <c r="F24" s="1">
        <v>-2025</v>
      </c>
      <c r="G24" s="1">
        <v>-1644.43</v>
      </c>
      <c r="H24" s="1">
        <v>-90</v>
      </c>
      <c r="I24" s="1">
        <v>0</v>
      </c>
      <c r="J24" s="1">
        <f>I24</f>
        <v>0</v>
      </c>
      <c r="K24" s="1">
        <v>-2482</v>
      </c>
      <c r="L24" s="1">
        <f>-378.02-1544.2+1</f>
        <v>-1921.22</v>
      </c>
      <c r="M24" s="1">
        <f>-50000-4043-2236-4670-778</f>
        <v>-61727</v>
      </c>
      <c r="N24" s="10">
        <f>-54914.6-6476.45</f>
        <v>-61391.049999999996</v>
      </c>
      <c r="O24" s="10">
        <f>-79999.92-9990.69-4035.6-190.85</f>
        <v>-94217.060000000012</v>
      </c>
      <c r="P24" s="37">
        <v>-53655</v>
      </c>
      <c r="Q24" s="10">
        <f>-90560-4036-9606.31+3860.13-5663.7-1887.9-1887.9</f>
        <v>-109781.67999999998</v>
      </c>
      <c r="R24" s="21">
        <f>-80000-4500-25000-130636-5000-8700</f>
        <v>-253836</v>
      </c>
      <c r="S24" s="37">
        <v>-54908</v>
      </c>
      <c r="T24" s="21">
        <f>-10000-83566-20000</f>
        <v>-113566</v>
      </c>
      <c r="U24" s="37">
        <v>-56190</v>
      </c>
      <c r="V24" s="21">
        <f>-10000-85938-20000</f>
        <v>-115938</v>
      </c>
      <c r="W24" s="37">
        <v>-57502</v>
      </c>
      <c r="X24" s="45">
        <v>-58844</v>
      </c>
    </row>
    <row r="25" spans="1:26" x14ac:dyDescent="0.25">
      <c r="A25" t="s">
        <v>9</v>
      </c>
      <c r="B25" s="1">
        <v>0</v>
      </c>
      <c r="C25" s="1">
        <v>-1042212</v>
      </c>
      <c r="D25" s="1">
        <f>-662226</f>
        <v>-662226</v>
      </c>
      <c r="E25" s="1">
        <f>-(165707.17*12)+385752.85</f>
        <v>-1602733.19</v>
      </c>
      <c r="F25" s="1">
        <v>-1674783.62</v>
      </c>
      <c r="G25" s="1">
        <v>-1865190</v>
      </c>
      <c r="H25" s="1">
        <v>-2217074</v>
      </c>
      <c r="I25" s="10">
        <v>-2932997</v>
      </c>
      <c r="J25" s="10">
        <v>-5602998</v>
      </c>
      <c r="K25" s="10">
        <v>-4792189</v>
      </c>
      <c r="L25" s="10">
        <v>-4982297.1100000003</v>
      </c>
      <c r="M25" s="1">
        <v>-6170701.5099999998</v>
      </c>
      <c r="N25" s="10">
        <v>-6346348.0899999999</v>
      </c>
      <c r="O25" s="10">
        <v>-6640099</v>
      </c>
      <c r="P25" s="37">
        <v>-6418790</v>
      </c>
      <c r="Q25" s="10">
        <v>-6744500</v>
      </c>
      <c r="R25" s="21">
        <f>-7057408+284100</f>
        <v>-6773308</v>
      </c>
      <c r="S25" s="37">
        <v>-6568672</v>
      </c>
      <c r="T25" s="21">
        <v>-6908266</v>
      </c>
      <c r="U25" s="37">
        <v>-6722054</v>
      </c>
      <c r="V25" s="21">
        <v>-7080935</v>
      </c>
      <c r="W25" s="37">
        <v>-6879017</v>
      </c>
      <c r="X25" s="45">
        <v>-7039645</v>
      </c>
      <c r="Z25" s="1"/>
    </row>
    <row r="26" spans="1:26" ht="12.75" customHeight="1" x14ac:dyDescent="0.25">
      <c r="A26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-15000</v>
      </c>
      <c r="G26" s="10">
        <f>-40000+5000</f>
        <v>-35000</v>
      </c>
      <c r="H26" s="1">
        <v>0</v>
      </c>
      <c r="I26" s="10">
        <v>0</v>
      </c>
      <c r="J26" s="10">
        <f>I26</f>
        <v>0</v>
      </c>
      <c r="K26" s="10">
        <f>J26</f>
        <v>0</v>
      </c>
      <c r="L26" s="10">
        <f>K26</f>
        <v>0</v>
      </c>
      <c r="M26" s="1">
        <v>-208532</v>
      </c>
      <c r="N26" s="10">
        <v>-209684</v>
      </c>
      <c r="O26" s="10">
        <v>-213315.55</v>
      </c>
      <c r="P26" s="37">
        <v>-222844</v>
      </c>
      <c r="Q26" s="10">
        <v>-70094</v>
      </c>
      <c r="R26" s="21">
        <v>-220000</v>
      </c>
      <c r="S26" s="37">
        <v>-227301</v>
      </c>
      <c r="T26" s="21">
        <v>-75000</v>
      </c>
      <c r="U26" s="37">
        <v>-231847</v>
      </c>
      <c r="V26" s="21">
        <v>-75000</v>
      </c>
      <c r="W26" s="37">
        <v>-236484</v>
      </c>
      <c r="X26" s="45">
        <v>-241213</v>
      </c>
    </row>
    <row r="27" spans="1:26" x14ac:dyDescent="0.25">
      <c r="A27" t="s">
        <v>8</v>
      </c>
      <c r="B27" s="9">
        <v>0</v>
      </c>
      <c r="C27" s="9">
        <v>0</v>
      </c>
      <c r="D27" s="9">
        <v>-85866.59</v>
      </c>
      <c r="E27" s="9">
        <f>-(83277.17+110185.4+33456.33+18514.51)</f>
        <v>-245433.41000000003</v>
      </c>
      <c r="F27" s="9">
        <v>-76971.600000000006</v>
      </c>
      <c r="G27" s="9">
        <v>-88720.82</v>
      </c>
      <c r="H27" s="9">
        <v>-87395</v>
      </c>
      <c r="I27" s="11">
        <v>-97542</v>
      </c>
      <c r="J27" s="10">
        <v>-970962</v>
      </c>
      <c r="K27" s="10">
        <v>-1502675</v>
      </c>
      <c r="L27" s="10">
        <v>-1555269</v>
      </c>
      <c r="M27" s="1">
        <v>-1849770</v>
      </c>
      <c r="N27" s="10">
        <v>-1907953.45</v>
      </c>
      <c r="O27" s="10">
        <v>-1973854</v>
      </c>
      <c r="P27" s="37">
        <v>-1927163</v>
      </c>
      <c r="Q27" s="10">
        <v>-2016148</v>
      </c>
      <c r="R27" s="25">
        <f>-2151938+113640</f>
        <v>-2038298</v>
      </c>
      <c r="S27" s="37">
        <v>-1972163</v>
      </c>
      <c r="T27" s="21">
        <v>-2088880</v>
      </c>
      <c r="U27" s="37">
        <v>-2018214</v>
      </c>
      <c r="V27" s="21">
        <v>-2140727</v>
      </c>
      <c r="W27" s="37">
        <v>-2065340</v>
      </c>
      <c r="X27" s="45">
        <v>-2113567</v>
      </c>
      <c r="Z27" s="1"/>
    </row>
    <row r="28" spans="1:26" hidden="1" x14ac:dyDescent="0.25">
      <c r="A28" t="s">
        <v>10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-47763</v>
      </c>
      <c r="I28" s="11">
        <v>0</v>
      </c>
      <c r="J28" s="1">
        <f>I28</f>
        <v>0</v>
      </c>
      <c r="K28" s="1">
        <f>J28</f>
        <v>0</v>
      </c>
      <c r="L28" s="1">
        <f>K28</f>
        <v>0</v>
      </c>
      <c r="M28" s="1">
        <v>0</v>
      </c>
      <c r="N28" s="10">
        <v>0</v>
      </c>
      <c r="O28" s="10"/>
      <c r="P28" s="37"/>
      <c r="Q28" s="10"/>
      <c r="R28" s="21"/>
      <c r="S28" s="37"/>
      <c r="T28" s="21"/>
      <c r="U28" s="37"/>
      <c r="V28" s="21"/>
      <c r="W28" s="37"/>
      <c r="X28" s="45"/>
    </row>
    <row r="29" spans="1:26" x14ac:dyDescent="0.25">
      <c r="A29" t="s">
        <v>15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1">
        <v>0</v>
      </c>
      <c r="J29" s="1">
        <v>-1023466</v>
      </c>
      <c r="K29" s="1">
        <v>-859853</v>
      </c>
      <c r="L29" s="1">
        <v>-939979</v>
      </c>
      <c r="M29" s="9">
        <v>-971129</v>
      </c>
      <c r="N29" s="11">
        <v>-1280486</v>
      </c>
      <c r="O29" s="11">
        <v>-1601861</v>
      </c>
      <c r="P29" s="37">
        <v>-1032881</v>
      </c>
      <c r="Q29" s="10">
        <v>-1515616</v>
      </c>
      <c r="R29" s="21">
        <f>-1349462-198222</f>
        <v>-1547684</v>
      </c>
      <c r="S29" s="37">
        <v>-1057000</v>
      </c>
      <c r="T29" s="21">
        <v>-1787463</v>
      </c>
      <c r="U29" s="37">
        <v>-1081681</v>
      </c>
      <c r="V29" s="21">
        <v>-1787463</v>
      </c>
      <c r="W29" s="37">
        <v>-1106939</v>
      </c>
      <c r="X29" s="45">
        <v>-1132786</v>
      </c>
    </row>
    <row r="30" spans="1:26" x14ac:dyDescent="0.25">
      <c r="A30" t="s">
        <v>44</v>
      </c>
      <c r="B30" s="2"/>
      <c r="C30" s="2"/>
      <c r="D30" s="2"/>
      <c r="E30" s="2"/>
      <c r="F30" s="2"/>
      <c r="G30" s="2"/>
      <c r="H30" s="2"/>
      <c r="I30" s="11"/>
      <c r="J30" s="1"/>
      <c r="K30" s="1"/>
      <c r="L30" s="1">
        <v>0</v>
      </c>
      <c r="M30" s="9">
        <v>0</v>
      </c>
      <c r="N30" s="11">
        <v>0</v>
      </c>
      <c r="O30" s="11">
        <v>0</v>
      </c>
      <c r="P30" s="37"/>
      <c r="Q30" s="10">
        <v>0</v>
      </c>
      <c r="R30" s="21">
        <v>0</v>
      </c>
      <c r="S30" s="37">
        <v>0</v>
      </c>
      <c r="T30" s="21">
        <f>-51115-65883</f>
        <v>-116998</v>
      </c>
      <c r="U30" s="37">
        <v>0</v>
      </c>
      <c r="V30" s="21">
        <f>-52137-67201</f>
        <v>-119338</v>
      </c>
      <c r="W30" s="37">
        <v>0</v>
      </c>
      <c r="X30" s="45">
        <v>0</v>
      </c>
    </row>
    <row r="31" spans="1:26" x14ac:dyDescent="0.25">
      <c r="A31" s="7" t="s">
        <v>24</v>
      </c>
      <c r="B31" s="2"/>
      <c r="C31" s="2"/>
      <c r="D31" s="2"/>
      <c r="E31" s="2"/>
      <c r="F31" s="2"/>
      <c r="G31" s="2"/>
      <c r="H31" s="2"/>
      <c r="I31" s="11"/>
      <c r="J31" s="1"/>
      <c r="K31" s="1"/>
      <c r="L31" s="1"/>
      <c r="M31" s="9"/>
      <c r="N31" s="11"/>
      <c r="O31" s="11"/>
      <c r="P31" s="37"/>
      <c r="Q31" s="10"/>
      <c r="R31" s="21"/>
      <c r="S31" s="37"/>
      <c r="T31" s="21"/>
      <c r="U31" s="37"/>
      <c r="V31" s="21"/>
      <c r="W31" s="37"/>
      <c r="X31" s="45"/>
    </row>
    <row r="32" spans="1:26" x14ac:dyDescent="0.25">
      <c r="A32" s="17" t="s">
        <v>20</v>
      </c>
      <c r="B32" s="2"/>
      <c r="C32" s="2"/>
      <c r="D32" s="2"/>
      <c r="E32" s="2"/>
      <c r="F32" s="2"/>
      <c r="G32" s="2"/>
      <c r="H32" s="2"/>
      <c r="I32" s="11"/>
      <c r="J32" s="1">
        <v>0</v>
      </c>
      <c r="K32" s="1">
        <v>0</v>
      </c>
      <c r="L32" s="1">
        <v>0</v>
      </c>
      <c r="M32" s="1">
        <v>0</v>
      </c>
      <c r="N32" s="11">
        <v>0</v>
      </c>
      <c r="O32" s="11">
        <v>0</v>
      </c>
      <c r="P32" s="37">
        <v>0</v>
      </c>
      <c r="Q32" s="10">
        <v>0</v>
      </c>
      <c r="R32" s="21">
        <v>0</v>
      </c>
      <c r="S32" s="37">
        <v>0</v>
      </c>
      <c r="T32" s="21">
        <v>0</v>
      </c>
      <c r="U32" s="37">
        <v>0</v>
      </c>
      <c r="V32" s="21">
        <v>0</v>
      </c>
      <c r="W32" s="37">
        <v>0</v>
      </c>
      <c r="X32" s="45">
        <v>0</v>
      </c>
    </row>
    <row r="33" spans="1:26" x14ac:dyDescent="0.25">
      <c r="A33" s="17" t="s">
        <v>39</v>
      </c>
      <c r="B33" s="2"/>
      <c r="C33" s="2"/>
      <c r="D33" s="2"/>
      <c r="E33" s="2"/>
      <c r="F33" s="2"/>
      <c r="G33" s="2"/>
      <c r="H33" s="2"/>
      <c r="I33" s="11"/>
      <c r="J33" s="1"/>
      <c r="K33" s="1"/>
      <c r="L33" s="1">
        <v>0</v>
      </c>
      <c r="M33" s="1">
        <v>0</v>
      </c>
      <c r="N33" s="11">
        <v>0</v>
      </c>
      <c r="O33" s="11">
        <v>0</v>
      </c>
      <c r="P33" s="37"/>
      <c r="Q33" s="10">
        <v>-18996</v>
      </c>
      <c r="R33" s="21">
        <f>-1252633+1129247</f>
        <v>-123386</v>
      </c>
      <c r="S33" s="37">
        <v>0</v>
      </c>
      <c r="T33" s="21">
        <f>-86520-36332</f>
        <v>-122852</v>
      </c>
      <c r="U33" s="37">
        <v>0</v>
      </c>
      <c r="V33" s="21">
        <v>-122147</v>
      </c>
      <c r="W33" s="37">
        <v>0</v>
      </c>
      <c r="X33" s="45">
        <v>0</v>
      </c>
      <c r="Z33" s="1"/>
    </row>
    <row r="34" spans="1:26" x14ac:dyDescent="0.25">
      <c r="A34" s="17" t="s">
        <v>26</v>
      </c>
      <c r="B34" s="2"/>
      <c r="C34" s="2"/>
      <c r="D34" s="2"/>
      <c r="E34" s="2"/>
      <c r="F34" s="2"/>
      <c r="G34" s="2"/>
      <c r="H34" s="2"/>
      <c r="I34" s="11"/>
      <c r="J34" s="1">
        <v>0</v>
      </c>
      <c r="K34" s="1">
        <v>0</v>
      </c>
      <c r="L34" s="1">
        <v>0</v>
      </c>
      <c r="M34" s="1">
        <v>0</v>
      </c>
      <c r="N34" s="11">
        <f>-21591-3450</f>
        <v>-25041</v>
      </c>
      <c r="O34" s="11">
        <v>-238225</v>
      </c>
      <c r="P34" s="37">
        <v>0</v>
      </c>
      <c r="Q34" s="10">
        <v>-1011349.16</v>
      </c>
      <c r="R34" s="21">
        <v>-1129247</v>
      </c>
      <c r="S34" s="37">
        <v>0</v>
      </c>
      <c r="T34" s="21">
        <f>-863393-143000</f>
        <v>-1006393</v>
      </c>
      <c r="U34" s="37">
        <v>0</v>
      </c>
      <c r="V34" s="21">
        <v>0</v>
      </c>
      <c r="W34" s="37">
        <v>0</v>
      </c>
      <c r="X34" s="45">
        <v>0</v>
      </c>
    </row>
    <row r="35" spans="1:26" x14ac:dyDescent="0.25">
      <c r="A35" s="17" t="s">
        <v>21</v>
      </c>
      <c r="B35" s="2"/>
      <c r="C35" s="2"/>
      <c r="D35" s="2"/>
      <c r="E35" s="2"/>
      <c r="F35" s="2"/>
      <c r="G35" s="2"/>
      <c r="H35" s="2"/>
      <c r="I35" s="11"/>
      <c r="J35" s="1">
        <v>0</v>
      </c>
      <c r="K35" s="1">
        <v>0</v>
      </c>
      <c r="L35" s="1">
        <v>0</v>
      </c>
      <c r="M35" s="1">
        <v>0</v>
      </c>
      <c r="N35" s="11">
        <v>0</v>
      </c>
      <c r="O35" s="11">
        <v>-172143</v>
      </c>
      <c r="P35" s="37">
        <v>-170708</v>
      </c>
      <c r="Q35" s="10">
        <v>-313902</v>
      </c>
      <c r="R35" s="21">
        <f>-182350-177500</f>
        <v>-359850</v>
      </c>
      <c r="S35" s="37">
        <v>-174694</v>
      </c>
      <c r="T35" s="21">
        <v>-577050</v>
      </c>
      <c r="U35" s="37">
        <v>-178773</v>
      </c>
      <c r="V35" s="21">
        <v>-394288</v>
      </c>
      <c r="W35" s="37">
        <v>-182948</v>
      </c>
      <c r="X35" s="45">
        <v>-187220</v>
      </c>
    </row>
    <row r="36" spans="1:26" x14ac:dyDescent="0.25">
      <c r="A36" s="17" t="s">
        <v>50</v>
      </c>
      <c r="B36" s="2"/>
      <c r="C36" s="2"/>
      <c r="D36" s="2"/>
      <c r="E36" s="2"/>
      <c r="F36" s="2"/>
      <c r="G36" s="2"/>
      <c r="H36" s="2"/>
      <c r="I36" s="11"/>
      <c r="J36" s="1">
        <v>0</v>
      </c>
      <c r="K36" s="1">
        <v>0</v>
      </c>
      <c r="L36" s="1">
        <v>0</v>
      </c>
      <c r="M36" s="1">
        <v>0</v>
      </c>
      <c r="N36" s="11">
        <v>0</v>
      </c>
      <c r="O36" s="11">
        <v>0</v>
      </c>
      <c r="P36" s="37">
        <v>0</v>
      </c>
      <c r="Q36" s="10">
        <v>0</v>
      </c>
      <c r="R36" s="21">
        <v>-3805277</v>
      </c>
      <c r="S36" s="37">
        <v>0</v>
      </c>
      <c r="T36" s="21">
        <v>-117232</v>
      </c>
      <c r="U36" s="37">
        <v>0</v>
      </c>
      <c r="V36" s="21">
        <v>0</v>
      </c>
      <c r="W36" s="37">
        <v>0</v>
      </c>
      <c r="X36" s="45">
        <v>0</v>
      </c>
    </row>
    <row r="37" spans="1:26" x14ac:dyDescent="0.25">
      <c r="A37" s="17" t="s">
        <v>32</v>
      </c>
      <c r="B37" s="2"/>
      <c r="C37" s="2"/>
      <c r="D37" s="2"/>
      <c r="E37" s="2"/>
      <c r="F37" s="2"/>
      <c r="G37" s="2"/>
      <c r="H37" s="2"/>
      <c r="I37" s="11"/>
      <c r="J37" s="1">
        <v>0</v>
      </c>
      <c r="K37" s="1">
        <v>0</v>
      </c>
      <c r="L37" s="1">
        <v>0</v>
      </c>
      <c r="M37" s="1">
        <v>-2600</v>
      </c>
      <c r="N37" s="11">
        <f>-13292-2227-1525</f>
        <v>-17044</v>
      </c>
      <c r="O37" s="11">
        <f>-(3125.37+41647+3242.16)</f>
        <v>-48014.53</v>
      </c>
      <c r="P37" s="37">
        <v>0</v>
      </c>
      <c r="Q37" s="10">
        <v>0</v>
      </c>
      <c r="R37" s="21">
        <v>0</v>
      </c>
      <c r="S37" s="37">
        <v>0</v>
      </c>
      <c r="T37" s="21">
        <v>0</v>
      </c>
      <c r="U37" s="37">
        <v>0</v>
      </c>
      <c r="V37" s="21">
        <v>0</v>
      </c>
      <c r="W37" s="37">
        <v>0</v>
      </c>
      <c r="X37" s="45">
        <v>0</v>
      </c>
    </row>
    <row r="38" spans="1:26" x14ac:dyDescent="0.25">
      <c r="A38" s="17" t="s">
        <v>40</v>
      </c>
      <c r="B38" s="2"/>
      <c r="C38" s="2"/>
      <c r="D38" s="2"/>
      <c r="E38" s="2"/>
      <c r="F38" s="2"/>
      <c r="G38" s="2"/>
      <c r="H38" s="2"/>
      <c r="I38" s="11"/>
      <c r="J38" s="1"/>
      <c r="K38" s="1"/>
      <c r="L38" s="1">
        <v>0</v>
      </c>
      <c r="M38" s="1">
        <v>0</v>
      </c>
      <c r="N38" s="11">
        <v>0</v>
      </c>
      <c r="O38" s="11">
        <v>0</v>
      </c>
      <c r="P38" s="37"/>
      <c r="Q38" s="10">
        <v>924</v>
      </c>
      <c r="R38" s="21">
        <v>0</v>
      </c>
      <c r="S38" s="37">
        <v>0</v>
      </c>
      <c r="T38" s="21">
        <v>0</v>
      </c>
      <c r="U38" s="37">
        <v>0</v>
      </c>
      <c r="V38" s="21">
        <v>0</v>
      </c>
      <c r="W38" s="37">
        <v>0</v>
      </c>
      <c r="X38" s="45">
        <v>0</v>
      </c>
    </row>
    <row r="39" spans="1:26" x14ac:dyDescent="0.25">
      <c r="A39" s="17" t="s">
        <v>37</v>
      </c>
      <c r="B39" s="2"/>
      <c r="C39" s="2"/>
      <c r="D39" s="2"/>
      <c r="E39" s="2"/>
      <c r="F39" s="2"/>
      <c r="G39" s="2"/>
      <c r="H39" s="2"/>
      <c r="I39" s="11"/>
      <c r="J39" s="1">
        <v>0</v>
      </c>
      <c r="K39" s="1">
        <v>0</v>
      </c>
      <c r="L39" s="1">
        <v>0</v>
      </c>
      <c r="M39" s="1">
        <v>0</v>
      </c>
      <c r="N39" s="11">
        <v>0</v>
      </c>
      <c r="O39" s="11">
        <v>0</v>
      </c>
      <c r="P39" s="11">
        <v>0</v>
      </c>
      <c r="Q39" s="11">
        <v>0</v>
      </c>
      <c r="R39" s="21">
        <v>0</v>
      </c>
      <c r="S39" s="37">
        <v>0</v>
      </c>
      <c r="T39" s="21">
        <v>0</v>
      </c>
      <c r="U39" s="37">
        <v>0</v>
      </c>
      <c r="V39" s="21">
        <v>0</v>
      </c>
      <c r="W39" s="37">
        <v>0</v>
      </c>
      <c r="X39" s="45">
        <v>0</v>
      </c>
    </row>
    <row r="40" spans="1:26" x14ac:dyDescent="0.25">
      <c r="A40" s="17" t="s">
        <v>22</v>
      </c>
      <c r="B40" s="2"/>
      <c r="C40" s="2"/>
      <c r="D40" s="2"/>
      <c r="E40" s="2"/>
      <c r="F40" s="2"/>
      <c r="G40" s="2"/>
      <c r="H40" s="2"/>
      <c r="I40" s="11"/>
      <c r="J40" s="1">
        <v>0</v>
      </c>
      <c r="K40" s="1">
        <v>0</v>
      </c>
      <c r="L40" s="1">
        <v>0</v>
      </c>
      <c r="M40" s="1">
        <v>0</v>
      </c>
      <c r="N40" s="11">
        <v>0</v>
      </c>
      <c r="O40" s="11">
        <v>0</v>
      </c>
      <c r="P40" s="11">
        <v>0</v>
      </c>
      <c r="Q40" s="11">
        <v>0</v>
      </c>
      <c r="R40" s="21">
        <v>-212866</v>
      </c>
      <c r="S40" s="37">
        <v>-986081</v>
      </c>
      <c r="T40" s="21">
        <v>-591000</v>
      </c>
      <c r="U40" s="37">
        <v>-1009107</v>
      </c>
      <c r="V40" s="21">
        <v>0</v>
      </c>
      <c r="W40" s="37">
        <v>-2065340</v>
      </c>
      <c r="X40" s="45">
        <v>-2113567</v>
      </c>
    </row>
    <row r="41" spans="1:26" x14ac:dyDescent="0.25">
      <c r="A41" t="s">
        <v>1</v>
      </c>
      <c r="B41" s="8">
        <f t="shared" ref="B41:I41" si="6">SUM(B21:B29)</f>
        <v>0</v>
      </c>
      <c r="C41" s="8">
        <f t="shared" si="6"/>
        <v>-1042212</v>
      </c>
      <c r="D41" s="8">
        <f t="shared" si="6"/>
        <v>-748092.59</v>
      </c>
      <c r="E41" s="8">
        <f t="shared" si="6"/>
        <v>-1848166.6</v>
      </c>
      <c r="F41" s="8">
        <f t="shared" si="6"/>
        <v>-1768780.2200000002</v>
      </c>
      <c r="G41" s="8">
        <f t="shared" si="6"/>
        <v>-1990555.25</v>
      </c>
      <c r="H41" s="8">
        <f t="shared" si="6"/>
        <v>-2352322</v>
      </c>
      <c r="I41" s="8">
        <f t="shared" si="6"/>
        <v>-3030539</v>
      </c>
      <c r="J41" s="8">
        <f t="shared" ref="J41:S41" si="7">SUM(J21:J40)</f>
        <v>-7609143</v>
      </c>
      <c r="K41" s="8">
        <f t="shared" si="7"/>
        <v>-7157199</v>
      </c>
      <c r="L41" s="8">
        <f t="shared" si="7"/>
        <v>-7479466.3300000001</v>
      </c>
      <c r="M41" s="8">
        <f t="shared" si="7"/>
        <v>-9267927.3399999999</v>
      </c>
      <c r="N41" s="29">
        <f t="shared" si="7"/>
        <v>-10150440.879999999</v>
      </c>
      <c r="O41" s="29">
        <f t="shared" si="7"/>
        <v>-11459431.629999999</v>
      </c>
      <c r="P41" s="29">
        <f t="shared" si="7"/>
        <v>-10186417</v>
      </c>
      <c r="Q41" s="29">
        <f t="shared" si="7"/>
        <v>-12219946.67</v>
      </c>
      <c r="R41" s="23">
        <f t="shared" si="7"/>
        <v>-16926235</v>
      </c>
      <c r="S41" s="39">
        <f t="shared" si="7"/>
        <v>-11409610</v>
      </c>
      <c r="T41" s="23">
        <f t="shared" ref="T41:V41" si="8">SUM(T21:T40)</f>
        <v>-13993260</v>
      </c>
      <c r="U41" s="39">
        <f t="shared" si="8"/>
        <v>-11675269</v>
      </c>
      <c r="V41" s="23">
        <f t="shared" si="8"/>
        <v>-12266083</v>
      </c>
      <c r="W41" s="39">
        <f>SUM(W21:W40)</f>
        <v>-12979785</v>
      </c>
      <c r="X41" s="47">
        <f>SUM(X21:X40)</f>
        <v>-13282075</v>
      </c>
    </row>
    <row r="42" spans="1:26" hidden="1" x14ac:dyDescent="0.25">
      <c r="A42" t="s">
        <v>36</v>
      </c>
      <c r="B42" s="1"/>
      <c r="C42" s="1"/>
      <c r="D42" s="1"/>
      <c r="E42" s="1"/>
      <c r="F42" s="1"/>
      <c r="I42" s="1"/>
      <c r="J42" s="1"/>
      <c r="O42" s="11"/>
      <c r="P42" s="37"/>
      <c r="Q42" s="10"/>
      <c r="R42" s="21"/>
      <c r="S42" s="37"/>
      <c r="T42" s="21"/>
      <c r="U42" s="37"/>
      <c r="V42" s="21"/>
      <c r="W42" s="37"/>
      <c r="X42" s="45"/>
    </row>
    <row r="43" spans="1:26" x14ac:dyDescent="0.25">
      <c r="A43" t="s">
        <v>7</v>
      </c>
      <c r="B43" s="2">
        <f t="shared" ref="B43:O43" si="9">B18+B41</f>
        <v>1226799</v>
      </c>
      <c r="C43" s="2">
        <f t="shared" si="9"/>
        <v>983541</v>
      </c>
      <c r="D43" s="2">
        <f t="shared" si="9"/>
        <v>1465585.4100000001</v>
      </c>
      <c r="E43" s="2">
        <f t="shared" si="9"/>
        <v>270834.10999999987</v>
      </c>
      <c r="F43" s="2">
        <f t="shared" si="9"/>
        <v>203382.75999999978</v>
      </c>
      <c r="G43" s="2">
        <f t="shared" si="9"/>
        <v>59064.75</v>
      </c>
      <c r="H43" s="2">
        <f t="shared" si="9"/>
        <v>-218103.00999999978</v>
      </c>
      <c r="I43" s="2">
        <f t="shared" si="9"/>
        <v>-791470.25999999978</v>
      </c>
      <c r="J43" s="2">
        <f t="shared" si="9"/>
        <v>-1501461.17</v>
      </c>
      <c r="K43" s="2">
        <f t="shared" si="9"/>
        <v>-400082.70000000019</v>
      </c>
      <c r="L43" s="2">
        <f t="shared" si="9"/>
        <v>-1166644.8499999996</v>
      </c>
      <c r="M43" s="2">
        <f t="shared" si="9"/>
        <v>3572916.9499999993</v>
      </c>
      <c r="N43" s="14">
        <f t="shared" si="9"/>
        <v>3747984.120000001</v>
      </c>
      <c r="O43" s="14">
        <f t="shared" si="9"/>
        <v>6639868.370000001</v>
      </c>
      <c r="P43" s="14">
        <f t="shared" ref="P43:Q43" si="10">P18+P41</f>
        <v>2598366</v>
      </c>
      <c r="Q43" s="14">
        <f t="shared" si="10"/>
        <v>4665117.42</v>
      </c>
      <c r="R43" s="22">
        <f>R18+R41</f>
        <v>-1747269</v>
      </c>
      <c r="S43" s="38">
        <f>S18+S41</f>
        <v>1519793</v>
      </c>
      <c r="T43" s="22">
        <f t="shared" ref="T43:V43" si="11">T18+T41</f>
        <v>749080</v>
      </c>
      <c r="U43" s="38">
        <f t="shared" si="11"/>
        <v>1399629</v>
      </c>
      <c r="V43" s="22">
        <f t="shared" si="11"/>
        <v>2690333</v>
      </c>
      <c r="W43" s="38">
        <f>W18+W41</f>
        <v>241517</v>
      </c>
      <c r="X43" s="46">
        <f>X18+X41</f>
        <v>86577</v>
      </c>
    </row>
    <row r="44" spans="1:26" x14ac:dyDescent="0.25">
      <c r="B44" s="1"/>
      <c r="C44" s="1"/>
      <c r="D44" s="1"/>
      <c r="E44" s="1"/>
      <c r="F44" s="1"/>
      <c r="I44" s="1"/>
      <c r="J44" s="1"/>
      <c r="K44" s="1"/>
      <c r="L44" s="1"/>
      <c r="P44" s="37"/>
      <c r="Q44" s="10"/>
      <c r="R44" s="21"/>
      <c r="S44" s="37"/>
      <c r="T44" s="21"/>
      <c r="U44" s="37"/>
      <c r="V44" s="21"/>
      <c r="W44" s="37"/>
      <c r="X44" s="45"/>
    </row>
    <row r="45" spans="1:26" ht="13.8" thickBot="1" x14ac:dyDescent="0.3">
      <c r="A45" t="s">
        <v>2</v>
      </c>
      <c r="B45" s="3">
        <f t="shared" ref="B45:M45" si="12">B6+B43</f>
        <v>1226799</v>
      </c>
      <c r="C45" s="3">
        <f t="shared" si="12"/>
        <v>2210340</v>
      </c>
      <c r="D45" s="3">
        <f t="shared" si="12"/>
        <v>3675925.41</v>
      </c>
      <c r="E45" s="3">
        <f t="shared" si="12"/>
        <v>3946759.52</v>
      </c>
      <c r="F45" s="3">
        <f t="shared" si="12"/>
        <v>4150142.28</v>
      </c>
      <c r="G45" s="3">
        <f t="shared" si="12"/>
        <v>4209207.0299999993</v>
      </c>
      <c r="H45" s="3">
        <f t="shared" si="12"/>
        <v>3991104.0199999996</v>
      </c>
      <c r="I45" s="3">
        <f t="shared" si="12"/>
        <v>3199633.76</v>
      </c>
      <c r="J45" s="3">
        <f t="shared" si="12"/>
        <v>1698172.5899999999</v>
      </c>
      <c r="K45" s="3">
        <f t="shared" si="12"/>
        <v>1298089.8899999997</v>
      </c>
      <c r="L45" s="3">
        <f t="shared" si="12"/>
        <v>131445.04000000004</v>
      </c>
      <c r="M45" s="3">
        <f t="shared" si="12"/>
        <v>3704361.9899999993</v>
      </c>
      <c r="N45" s="30">
        <f t="shared" ref="N45:Q45" si="13">N6+N43</f>
        <v>7452346.1100000003</v>
      </c>
      <c r="O45" s="30">
        <f t="shared" si="13"/>
        <v>14092214.48</v>
      </c>
      <c r="P45" s="30">
        <f t="shared" si="13"/>
        <v>8083895</v>
      </c>
      <c r="Q45" s="30">
        <f t="shared" si="13"/>
        <v>18757331.899999999</v>
      </c>
      <c r="R45" s="24">
        <f t="shared" ref="R45:X45" si="14">R6+R43</f>
        <v>12344945.48</v>
      </c>
      <c r="S45" s="40">
        <f t="shared" si="14"/>
        <v>9603688</v>
      </c>
      <c r="T45" s="24">
        <f t="shared" si="14"/>
        <v>19506411.899999999</v>
      </c>
      <c r="U45" s="40">
        <f t="shared" si="14"/>
        <v>11003317</v>
      </c>
      <c r="V45" s="24">
        <f t="shared" si="14"/>
        <v>22196744.899999999</v>
      </c>
      <c r="W45" s="40">
        <f t="shared" si="14"/>
        <v>11244834</v>
      </c>
      <c r="X45" s="48">
        <f t="shared" si="14"/>
        <v>11331411</v>
      </c>
    </row>
    <row r="46" spans="1:26" ht="10.5" customHeight="1" thickTop="1" x14ac:dyDescent="0.25"/>
    <row r="47" spans="1:26" x14ac:dyDescent="0.25">
      <c r="A47" s="7" t="s">
        <v>38</v>
      </c>
    </row>
    <row r="48" spans="1:26" x14ac:dyDescent="0.25">
      <c r="A48" s="17" t="s">
        <v>34</v>
      </c>
    </row>
    <row r="49" spans="1:24" x14ac:dyDescent="0.25">
      <c r="A49" s="13" t="s">
        <v>41</v>
      </c>
      <c r="P49" s="1"/>
      <c r="Q49" s="10"/>
      <c r="R49" s="1"/>
      <c r="S49" s="1"/>
      <c r="T49" s="1"/>
      <c r="U49" s="1"/>
      <c r="V49" s="1"/>
      <c r="W49" s="1"/>
      <c r="X49" s="1"/>
    </row>
    <row r="50" spans="1:24" x14ac:dyDescent="0.25">
      <c r="A50" s="7" t="s">
        <v>51</v>
      </c>
    </row>
    <row r="51" spans="1:24" x14ac:dyDescent="0.25">
      <c r="A51" s="17" t="s">
        <v>53</v>
      </c>
    </row>
    <row r="52" spans="1:24" x14ac:dyDescent="0.25">
      <c r="A52" s="17" t="s">
        <v>47</v>
      </c>
    </row>
    <row r="53" spans="1:24" x14ac:dyDescent="0.25">
      <c r="A53" s="17" t="s">
        <v>46</v>
      </c>
    </row>
    <row r="54" spans="1:24" x14ac:dyDescent="0.25">
      <c r="A54" s="17" t="s">
        <v>54</v>
      </c>
    </row>
    <row r="55" spans="1:24" x14ac:dyDescent="0.25">
      <c r="A55" s="17" t="s">
        <v>45</v>
      </c>
    </row>
    <row r="56" spans="1:24" x14ac:dyDescent="0.25">
      <c r="A56" s="17" t="s">
        <v>48</v>
      </c>
    </row>
    <row r="57" spans="1:24" x14ac:dyDescent="0.25">
      <c r="A57" s="17" t="s">
        <v>49</v>
      </c>
    </row>
  </sheetData>
  <phoneticPr fontId="1" type="noConversion"/>
  <printOptions horizontalCentered="1"/>
  <pageMargins left="0.25" right="0.25" top="0.5" bottom="0.5" header="0.5" footer="0.38"/>
  <pageSetup paperSize="5" scale="77" orientation="landscape" r:id="rId1"/>
  <headerFooter alignWithMargins="0">
    <oddFooter>&amp;L&amp;Z&amp;F&amp;C&amp;"Arial,Bold"&amp;16DRAFT&amp;R&amp;D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ADDE-D508-4A6C-A352-C8E0A46F96D0}">
  <sheetPr>
    <pageSetUpPr fitToPage="1"/>
  </sheetPr>
  <dimension ref="A1:Z49"/>
  <sheetViews>
    <sheetView tabSelected="1" zoomScale="98" zoomScaleNormal="98" workbookViewId="0">
      <pane xSplit="11" ySplit="5" topLeftCell="L22" activePane="bottomRight" state="frozen"/>
      <selection pane="topRight" activeCell="L1" sqref="L1"/>
      <selection pane="bottomLeft" activeCell="A6" sqref="A6"/>
      <selection pane="bottomRight" activeCell="X21" sqref="X21"/>
    </sheetView>
  </sheetViews>
  <sheetFormatPr defaultRowHeight="13.2" x14ac:dyDescent="0.25"/>
  <cols>
    <col min="1" max="1" width="30" customWidth="1"/>
    <col min="2" max="2" width="10.33203125" hidden="1" customWidth="1"/>
    <col min="3" max="10" width="10.88671875" hidden="1" customWidth="1"/>
    <col min="11" max="11" width="11.33203125" hidden="1" customWidth="1"/>
    <col min="12" max="12" width="10.88671875" bestFit="1" customWidth="1"/>
    <col min="13" max="13" width="11.33203125" customWidth="1"/>
    <col min="14" max="14" width="11.88671875" style="12" bestFit="1" customWidth="1"/>
    <col min="15" max="15" width="11.88671875" style="12" customWidth="1"/>
    <col min="16" max="16" width="11.88671875" hidden="1" customWidth="1"/>
    <col min="17" max="17" width="11.88671875" style="12" customWidth="1"/>
    <col min="18" max="19" width="11.88671875" customWidth="1"/>
    <col min="20" max="20" width="11.88671875" bestFit="1" customWidth="1"/>
    <col min="21" max="21" width="11.88671875" customWidth="1"/>
    <col min="22" max="23" width="11.88671875" bestFit="1" customWidth="1"/>
    <col min="25" max="25" width="13.88671875" bestFit="1" customWidth="1"/>
    <col min="26" max="26" width="11.109375" bestFit="1" customWidth="1"/>
  </cols>
  <sheetData>
    <row r="1" spans="1:25" ht="17.399999999999999" x14ac:dyDescent="0.3">
      <c r="A1" s="6" t="s">
        <v>55</v>
      </c>
    </row>
    <row r="2" spans="1:25" x14ac:dyDescent="0.25">
      <c r="A2" s="17" t="s">
        <v>23</v>
      </c>
      <c r="J2" s="18"/>
      <c r="K2" s="18">
        <v>4</v>
      </c>
      <c r="L2" s="18">
        <v>4</v>
      </c>
      <c r="M2" s="18">
        <v>4</v>
      </c>
      <c r="N2" s="26">
        <v>4</v>
      </c>
      <c r="O2" s="26">
        <v>4</v>
      </c>
      <c r="P2" s="33">
        <v>4</v>
      </c>
      <c r="Q2" s="26">
        <v>4</v>
      </c>
      <c r="R2" s="26">
        <v>4</v>
      </c>
      <c r="S2" s="31">
        <v>4</v>
      </c>
      <c r="T2" s="33">
        <v>4.5</v>
      </c>
      <c r="U2" s="31">
        <v>4</v>
      </c>
      <c r="V2" s="33">
        <v>5</v>
      </c>
      <c r="W2" s="41">
        <v>5</v>
      </c>
    </row>
    <row r="3" spans="1:25" x14ac:dyDescent="0.25">
      <c r="A3" s="7"/>
      <c r="J3" s="4"/>
      <c r="M3" s="4"/>
      <c r="N3" s="27"/>
      <c r="O3" s="27"/>
      <c r="P3" s="34"/>
      <c r="R3" s="27" t="s">
        <v>3</v>
      </c>
      <c r="S3" s="19"/>
      <c r="T3" s="34"/>
      <c r="U3" s="19"/>
      <c r="V3" s="34"/>
      <c r="W3" s="42"/>
    </row>
    <row r="4" spans="1:25" x14ac:dyDescent="0.25"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16" t="s">
        <v>3</v>
      </c>
      <c r="M4" s="4" t="s">
        <v>3</v>
      </c>
      <c r="N4" s="27" t="s">
        <v>3</v>
      </c>
      <c r="O4" s="27" t="s">
        <v>3</v>
      </c>
      <c r="P4" s="35" t="s">
        <v>28</v>
      </c>
      <c r="Q4" s="27" t="s">
        <v>3</v>
      </c>
      <c r="R4" s="53">
        <v>44408</v>
      </c>
      <c r="S4" s="32" t="s">
        <v>52</v>
      </c>
      <c r="T4" s="35" t="s">
        <v>28</v>
      </c>
      <c r="U4" s="32" t="s">
        <v>52</v>
      </c>
      <c r="V4" s="35" t="s">
        <v>28</v>
      </c>
      <c r="W4" s="43" t="s">
        <v>28</v>
      </c>
    </row>
    <row r="5" spans="1:25" ht="25.5" customHeight="1" x14ac:dyDescent="0.25">
      <c r="B5" s="5">
        <v>2006</v>
      </c>
      <c r="C5" s="5">
        <v>2007</v>
      </c>
      <c r="D5" s="5">
        <v>2008</v>
      </c>
      <c r="E5" s="5">
        <v>2009</v>
      </c>
      <c r="F5" s="5">
        <v>2010</v>
      </c>
      <c r="G5" s="5">
        <v>2011</v>
      </c>
      <c r="H5" s="5">
        <v>2012</v>
      </c>
      <c r="I5" s="5">
        <v>2013</v>
      </c>
      <c r="J5" s="5">
        <v>2014</v>
      </c>
      <c r="K5" s="5">
        <v>2015</v>
      </c>
      <c r="L5" s="15">
        <v>2016</v>
      </c>
      <c r="M5" s="5">
        <v>2017</v>
      </c>
      <c r="N5" s="28">
        <v>2018</v>
      </c>
      <c r="O5" s="28">
        <v>2019</v>
      </c>
      <c r="P5" s="28">
        <v>2019</v>
      </c>
      <c r="Q5" s="28">
        <v>2020</v>
      </c>
      <c r="R5" s="54">
        <v>2021</v>
      </c>
      <c r="S5" s="49">
        <v>2021</v>
      </c>
      <c r="T5" s="36">
        <v>2021</v>
      </c>
      <c r="U5" s="49">
        <v>2022</v>
      </c>
      <c r="V5" s="36">
        <v>2022</v>
      </c>
      <c r="W5" s="44">
        <v>2023</v>
      </c>
    </row>
    <row r="6" spans="1:25" x14ac:dyDescent="0.25">
      <c r="A6" t="s">
        <v>0</v>
      </c>
      <c r="B6" s="1">
        <v>0</v>
      </c>
      <c r="C6" s="1">
        <f t="shared" ref="C6:N6" si="0">B45</f>
        <v>1226799</v>
      </c>
      <c r="D6" s="1">
        <f t="shared" si="0"/>
        <v>2210340</v>
      </c>
      <c r="E6" s="1">
        <f t="shared" si="0"/>
        <v>3675925.41</v>
      </c>
      <c r="F6" s="1">
        <f t="shared" si="0"/>
        <v>3946759.52</v>
      </c>
      <c r="G6" s="1">
        <f t="shared" si="0"/>
        <v>4150142.28</v>
      </c>
      <c r="H6" s="1">
        <f t="shared" si="0"/>
        <v>4209207.0299999993</v>
      </c>
      <c r="I6" s="1">
        <f t="shared" si="0"/>
        <v>3991104.0199999996</v>
      </c>
      <c r="J6" s="1">
        <f t="shared" si="0"/>
        <v>3199633.76</v>
      </c>
      <c r="K6" s="1">
        <f t="shared" si="0"/>
        <v>1698172.5899999999</v>
      </c>
      <c r="L6" s="1">
        <f t="shared" si="0"/>
        <v>1298089.8899999997</v>
      </c>
      <c r="M6" s="1">
        <f t="shared" si="0"/>
        <v>131445.04000000004</v>
      </c>
      <c r="N6" s="10">
        <f t="shared" si="0"/>
        <v>3704361.9899999993</v>
      </c>
      <c r="O6" s="10">
        <f>N45</f>
        <v>7452346.1100000003</v>
      </c>
      <c r="P6" s="37">
        <v>5485529</v>
      </c>
      <c r="Q6" s="10">
        <f>O45</f>
        <v>14092214.48</v>
      </c>
      <c r="R6" s="10"/>
      <c r="S6" s="21">
        <f>Q45</f>
        <v>18757331.899999999</v>
      </c>
      <c r="T6" s="37">
        <v>9603688</v>
      </c>
      <c r="U6" s="21">
        <f>S45</f>
        <v>21347541.899999999</v>
      </c>
      <c r="V6" s="37">
        <f>T45</f>
        <v>11003317</v>
      </c>
      <c r="W6" s="45">
        <f t="shared" ref="W6" si="1">V45</f>
        <v>11244834</v>
      </c>
    </row>
    <row r="7" spans="1:25" x14ac:dyDescent="0.25">
      <c r="A7" s="17" t="s">
        <v>17</v>
      </c>
      <c r="B7" s="1"/>
      <c r="C7" s="1"/>
      <c r="D7" s="1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7768502.3600000003</v>
      </c>
      <c r="N7" s="10">
        <v>8009642</v>
      </c>
      <c r="O7" s="10">
        <v>8141190</v>
      </c>
      <c r="P7" s="37">
        <v>7847046</v>
      </c>
      <c r="Q7" s="10">
        <v>8294851.9100000001</v>
      </c>
      <c r="R7" s="10">
        <v>4673883</v>
      </c>
      <c r="S7" s="21">
        <v>8415000</v>
      </c>
      <c r="T7" s="37">
        <v>8003878</v>
      </c>
      <c r="U7" s="21">
        <v>8515000</v>
      </c>
      <c r="V7" s="37">
        <v>8081132</v>
      </c>
      <c r="W7" s="45">
        <v>8157603</v>
      </c>
    </row>
    <row r="8" spans="1:25" x14ac:dyDescent="0.25">
      <c r="A8" t="s">
        <v>5</v>
      </c>
      <c r="B8" s="1">
        <v>1226799</v>
      </c>
      <c r="C8" s="1">
        <v>2025753</v>
      </c>
      <c r="D8" s="1">
        <v>2213678</v>
      </c>
      <c r="E8" s="1">
        <f>1138355+755143</f>
        <v>1893498</v>
      </c>
      <c r="F8" s="1">
        <f>1154107+765593</f>
        <v>1919700</v>
      </c>
      <c r="G8" s="1">
        <f>2014213</f>
        <v>2014213</v>
      </c>
      <c r="H8" s="1">
        <f>2040986+70902.54</f>
        <v>2111888.54</v>
      </c>
      <c r="I8" s="1">
        <f>1345891+892780</f>
        <v>2238671</v>
      </c>
      <c r="J8" s="1">
        <f>1369617+908507</f>
        <v>2278124</v>
      </c>
      <c r="K8" s="1">
        <v>2385129.94</v>
      </c>
      <c r="L8" s="10">
        <f>1487501+986717</f>
        <v>2474218</v>
      </c>
      <c r="M8" s="1">
        <f>1630744.97+745262.9+43424.41+22836.47+116378.1+117521.38+12955.29+13324.19</f>
        <v>2702447.7100000004</v>
      </c>
      <c r="N8" s="10">
        <f>1771356+3108884-1946512</f>
        <v>2933728</v>
      </c>
      <c r="O8" s="10">
        <f>1883865+3419778-2186796</f>
        <v>3116847</v>
      </c>
      <c r="P8" s="37">
        <v>2632737</v>
      </c>
      <c r="Q8" s="10">
        <f>1832748.79+2878567.03-Q13</f>
        <v>3041184.0500000003</v>
      </c>
      <c r="R8" s="10">
        <v>1846157</v>
      </c>
      <c r="S8" s="21">
        <v>3516440</v>
      </c>
      <c r="T8" s="37">
        <v>2766020</v>
      </c>
      <c r="U8" s="21">
        <f>S8*1.05</f>
        <v>3692262</v>
      </c>
      <c r="V8" s="37">
        <v>2835170</v>
      </c>
      <c r="W8" s="45">
        <v>2906049</v>
      </c>
    </row>
    <row r="9" spans="1:25" x14ac:dyDescent="0.25">
      <c r="A9" t="s">
        <v>29</v>
      </c>
      <c r="B9" s="1"/>
      <c r="C9" s="1"/>
      <c r="D9" s="1"/>
      <c r="E9" s="1"/>
      <c r="F9" s="1"/>
      <c r="G9" s="1"/>
      <c r="H9" s="1"/>
      <c r="I9" s="1"/>
      <c r="J9" s="1">
        <v>0</v>
      </c>
      <c r="K9" s="1">
        <v>0</v>
      </c>
      <c r="L9" s="10">
        <v>0</v>
      </c>
      <c r="M9" s="1">
        <v>278252.77</v>
      </c>
      <c r="N9" s="10">
        <v>0</v>
      </c>
      <c r="O9" s="10"/>
      <c r="P9" s="37">
        <v>0</v>
      </c>
      <c r="Q9" s="10">
        <v>0</v>
      </c>
      <c r="R9" s="10">
        <v>0</v>
      </c>
      <c r="S9" s="21">
        <v>0</v>
      </c>
      <c r="T9" s="37">
        <v>0</v>
      </c>
      <c r="U9" s="21">
        <v>0</v>
      </c>
      <c r="V9" s="37">
        <v>0</v>
      </c>
      <c r="W9" s="45">
        <v>0</v>
      </c>
    </row>
    <row r="10" spans="1:25" x14ac:dyDescent="0.25">
      <c r="A10" s="17" t="s">
        <v>35</v>
      </c>
      <c r="B10" s="1"/>
      <c r="C10" s="1"/>
      <c r="D10" s="1"/>
      <c r="E10" s="1"/>
      <c r="F10" s="1"/>
      <c r="G10" s="1"/>
      <c r="H10" s="1"/>
      <c r="I10" s="1"/>
      <c r="J10" s="1">
        <v>0</v>
      </c>
      <c r="K10" s="1">
        <v>0</v>
      </c>
      <c r="L10" s="10">
        <v>0</v>
      </c>
      <c r="M10" s="1">
        <v>0</v>
      </c>
      <c r="N10" s="10">
        <v>0</v>
      </c>
      <c r="O10" s="10">
        <v>57427</v>
      </c>
      <c r="P10" s="37">
        <v>0</v>
      </c>
      <c r="Q10" s="10">
        <v>0</v>
      </c>
      <c r="R10" s="10">
        <v>0</v>
      </c>
      <c r="S10" s="21">
        <v>41900</v>
      </c>
      <c r="T10" s="37">
        <v>0</v>
      </c>
      <c r="U10" s="21">
        <v>0</v>
      </c>
      <c r="V10" s="37">
        <v>0</v>
      </c>
      <c r="W10" s="45">
        <v>0</v>
      </c>
    </row>
    <row r="11" spans="1:25" x14ac:dyDescent="0.25">
      <c r="A11" s="17" t="s">
        <v>27</v>
      </c>
      <c r="B11" s="9">
        <v>0</v>
      </c>
      <c r="C11" s="9">
        <v>0</v>
      </c>
      <c r="D11" s="9">
        <v>0</v>
      </c>
      <c r="E11" s="9">
        <f>139166.72+86335.99</f>
        <v>225502.71000000002</v>
      </c>
      <c r="F11" s="9">
        <v>52462.98</v>
      </c>
      <c r="G11" s="11">
        <v>35407</v>
      </c>
      <c r="H11" s="11">
        <v>22330.45</v>
      </c>
      <c r="I11" s="9">
        <f>13934.74-16080+2543</f>
        <v>397.73999999999978</v>
      </c>
      <c r="J11" s="11">
        <f>8903+12040-1</f>
        <v>20942</v>
      </c>
      <c r="K11" s="11">
        <f>8163.03+7598.92-877</f>
        <v>14884.95</v>
      </c>
      <c r="L11" s="11">
        <f>5042.52+125</f>
        <v>5167.5200000000004</v>
      </c>
      <c r="M11" s="1">
        <f>73.69+56278.47+34350.41+5836.72+972.78+1147.14+34219.34-41981+721.7-1.93+1300.02+30819.65</f>
        <v>123736.98999999999</v>
      </c>
      <c r="N11" s="10">
        <f>109861+282+77878+1125+98196</f>
        <v>287342</v>
      </c>
      <c r="O11" s="10">
        <f>625+268287+397+120494+105827</f>
        <v>495630</v>
      </c>
      <c r="P11" s="37">
        <v>5000</v>
      </c>
      <c r="Q11" s="10">
        <f>346375.12+146.84+191509.49</f>
        <v>538031.44999999995</v>
      </c>
      <c r="R11" s="10">
        <f>51526-1</f>
        <v>51525</v>
      </c>
      <c r="S11" s="21">
        <v>279884</v>
      </c>
      <c r="T11" s="37">
        <v>5000</v>
      </c>
      <c r="U11" s="21">
        <v>280000</v>
      </c>
      <c r="V11" s="37">
        <v>5000</v>
      </c>
      <c r="W11" s="45">
        <v>5000</v>
      </c>
    </row>
    <row r="12" spans="1:25" x14ac:dyDescent="0.25">
      <c r="A12" t="s">
        <v>11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1">
        <v>275931</v>
      </c>
      <c r="K12" s="11">
        <v>301193</v>
      </c>
      <c r="L12" s="11">
        <v>275291</v>
      </c>
      <c r="M12" s="1">
        <v>0</v>
      </c>
      <c r="N12" s="10">
        <v>0</v>
      </c>
      <c r="O12" s="10">
        <v>0</v>
      </c>
      <c r="P12" s="37">
        <v>0</v>
      </c>
      <c r="Q12" s="10">
        <v>0</v>
      </c>
      <c r="R12" s="10">
        <v>0</v>
      </c>
      <c r="S12" s="21">
        <v>0</v>
      </c>
      <c r="T12" s="37">
        <v>0</v>
      </c>
      <c r="U12" s="21">
        <v>0</v>
      </c>
      <c r="V12" s="37">
        <v>0</v>
      </c>
      <c r="W12" s="45">
        <v>0</v>
      </c>
    </row>
    <row r="13" spans="1:25" x14ac:dyDescent="0.25">
      <c r="A13" t="s">
        <v>12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1">
        <f>1862680+237004.83</f>
        <v>2099684.83</v>
      </c>
      <c r="K13" s="11">
        <v>2307184.11</v>
      </c>
      <c r="L13" s="11">
        <f>1986783.83+52354.29+138269.84</f>
        <v>2177407.96</v>
      </c>
      <c r="M13" s="10">
        <v>1967904.46</v>
      </c>
      <c r="N13" s="10">
        <v>1946512</v>
      </c>
      <c r="O13" s="10">
        <v>2186796</v>
      </c>
      <c r="P13" s="37">
        <v>2300000</v>
      </c>
      <c r="Q13" s="10">
        <v>1670131.77</v>
      </c>
      <c r="R13" s="10">
        <v>902967</v>
      </c>
      <c r="S13" s="21">
        <v>2000000</v>
      </c>
      <c r="T13" s="37">
        <v>2300000</v>
      </c>
      <c r="U13" s="21">
        <v>2000000</v>
      </c>
      <c r="V13" s="37">
        <v>2300000</v>
      </c>
      <c r="W13" s="45">
        <v>2300000</v>
      </c>
    </row>
    <row r="14" spans="1:25" x14ac:dyDescent="0.25">
      <c r="A14" t="s">
        <v>30</v>
      </c>
      <c r="B14" s="9"/>
      <c r="C14" s="9"/>
      <c r="D14" s="9"/>
      <c r="E14" s="9"/>
      <c r="F14" s="9"/>
      <c r="G14" s="9"/>
      <c r="H14" s="9"/>
      <c r="I14" s="9"/>
      <c r="J14" s="11">
        <v>0</v>
      </c>
      <c r="K14" s="11">
        <v>0</v>
      </c>
      <c r="L14" s="11">
        <v>0</v>
      </c>
      <c r="M14" s="10">
        <v>0</v>
      </c>
      <c r="N14" s="10">
        <v>641201</v>
      </c>
      <c r="O14" s="10">
        <v>4001410</v>
      </c>
      <c r="P14" s="37">
        <v>0</v>
      </c>
      <c r="Q14" s="10">
        <v>3340864.91</v>
      </c>
      <c r="R14" s="10">
        <v>2009798</v>
      </c>
      <c r="S14" s="21">
        <v>2700000</v>
      </c>
      <c r="T14" s="37">
        <v>0</v>
      </c>
      <c r="U14" s="21">
        <v>2300000</v>
      </c>
      <c r="V14" s="37">
        <v>0</v>
      </c>
      <c r="W14" s="45">
        <v>0</v>
      </c>
      <c r="Y14" s="52"/>
    </row>
    <row r="15" spans="1:25" x14ac:dyDescent="0.25">
      <c r="A15" t="s">
        <v>31</v>
      </c>
      <c r="B15" s="9"/>
      <c r="C15" s="9"/>
      <c r="D15" s="9"/>
      <c r="E15" s="9"/>
      <c r="F15" s="9"/>
      <c r="G15" s="9"/>
      <c r="H15" s="9"/>
      <c r="I15" s="9"/>
      <c r="J15" s="11">
        <v>0</v>
      </c>
      <c r="K15" s="11">
        <v>0</v>
      </c>
      <c r="L15" s="11">
        <v>0</v>
      </c>
      <c r="M15" s="10">
        <v>0</v>
      </c>
      <c r="N15" s="10">
        <f>28000+52000</f>
        <v>80000</v>
      </c>
      <c r="O15" s="10">
        <v>100000</v>
      </c>
      <c r="P15" s="37">
        <v>0</v>
      </c>
      <c r="Q15" s="10">
        <v>0</v>
      </c>
      <c r="R15" s="10">
        <v>0</v>
      </c>
      <c r="S15" s="21">
        <v>0</v>
      </c>
      <c r="T15" s="37">
        <v>0</v>
      </c>
      <c r="U15" s="21">
        <v>0</v>
      </c>
      <c r="V15" s="50">
        <v>0</v>
      </c>
      <c r="W15" s="37">
        <v>0</v>
      </c>
    </row>
    <row r="16" spans="1:25" x14ac:dyDescent="0.25">
      <c r="A16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1433000</v>
      </c>
      <c r="K16" s="9">
        <v>1385299</v>
      </c>
      <c r="L16" s="9">
        <v>1380737</v>
      </c>
      <c r="M16" s="1">
        <v>0</v>
      </c>
      <c r="N16" s="10">
        <v>0</v>
      </c>
      <c r="O16" s="10">
        <v>0</v>
      </c>
      <c r="P16" s="37">
        <v>0</v>
      </c>
      <c r="Q16" s="10">
        <v>0</v>
      </c>
      <c r="R16" s="10">
        <v>0</v>
      </c>
      <c r="S16" s="21">
        <v>0</v>
      </c>
      <c r="T16" s="37">
        <v>0</v>
      </c>
      <c r="U16" s="21">
        <v>0</v>
      </c>
      <c r="V16" s="50">
        <v>0</v>
      </c>
      <c r="W16" s="37">
        <v>0</v>
      </c>
    </row>
    <row r="17" spans="1:26" hidden="1" x14ac:dyDescent="0.25">
      <c r="A17" s="56" t="s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4">
        <v>0</v>
      </c>
      <c r="K17" s="14">
        <v>363425.3</v>
      </c>
      <c r="L17" s="14">
        <v>0</v>
      </c>
      <c r="M17" s="2">
        <v>0</v>
      </c>
      <c r="N17" s="14">
        <v>0</v>
      </c>
      <c r="O17" s="14">
        <v>0</v>
      </c>
      <c r="P17" s="38">
        <v>0</v>
      </c>
      <c r="Q17" s="14">
        <v>0</v>
      </c>
      <c r="R17" s="14">
        <v>0</v>
      </c>
      <c r="S17" s="22">
        <v>0</v>
      </c>
      <c r="T17" s="38">
        <v>0</v>
      </c>
      <c r="U17" s="22">
        <v>0</v>
      </c>
      <c r="V17" s="51">
        <v>0</v>
      </c>
      <c r="W17" s="38">
        <v>0</v>
      </c>
    </row>
    <row r="18" spans="1:26" x14ac:dyDescent="0.25">
      <c r="A18" t="s">
        <v>6</v>
      </c>
      <c r="B18" s="9">
        <f t="shared" ref="B18:L18" si="2">SUM(B8:B17)</f>
        <v>1226799</v>
      </c>
      <c r="C18" s="9">
        <f t="shared" si="2"/>
        <v>2025753</v>
      </c>
      <c r="D18" s="9">
        <f t="shared" si="2"/>
        <v>2213678</v>
      </c>
      <c r="E18" s="9">
        <f t="shared" si="2"/>
        <v>2119000.71</v>
      </c>
      <c r="F18" s="9">
        <f t="shared" si="2"/>
        <v>1972162.98</v>
      </c>
      <c r="G18" s="9">
        <f t="shared" si="2"/>
        <v>2049620</v>
      </c>
      <c r="H18" s="9">
        <f t="shared" si="2"/>
        <v>2134218.9900000002</v>
      </c>
      <c r="I18" s="9">
        <f t="shared" si="2"/>
        <v>2239068.7400000002</v>
      </c>
      <c r="J18" s="9">
        <f t="shared" si="2"/>
        <v>6107681.8300000001</v>
      </c>
      <c r="K18" s="9">
        <f t="shared" si="2"/>
        <v>6757116.2999999998</v>
      </c>
      <c r="L18" s="57">
        <f t="shared" si="2"/>
        <v>6312821.4800000004</v>
      </c>
      <c r="M18" s="57">
        <f t="shared" ref="M18:W18" si="3">SUM(M7:M17)</f>
        <v>12840844.289999999</v>
      </c>
      <c r="N18" s="58">
        <f t="shared" si="3"/>
        <v>13898425</v>
      </c>
      <c r="O18" s="58">
        <f t="shared" si="3"/>
        <v>18099300</v>
      </c>
      <c r="P18" s="58">
        <f t="shared" si="3"/>
        <v>12784783</v>
      </c>
      <c r="Q18" s="58">
        <f t="shared" si="3"/>
        <v>16885064.09</v>
      </c>
      <c r="R18" s="58">
        <f t="shared" si="3"/>
        <v>9484330</v>
      </c>
      <c r="S18" s="59">
        <f t="shared" si="3"/>
        <v>16953224</v>
      </c>
      <c r="T18" s="60">
        <f t="shared" si="3"/>
        <v>13074898</v>
      </c>
      <c r="U18" s="59">
        <f t="shared" si="3"/>
        <v>16787262</v>
      </c>
      <c r="V18" s="60">
        <f t="shared" si="3"/>
        <v>13221302</v>
      </c>
      <c r="W18" s="61">
        <f t="shared" si="3"/>
        <v>13368652</v>
      </c>
    </row>
    <row r="19" spans="1:26" x14ac:dyDescent="0.25">
      <c r="B19" s="1"/>
      <c r="C19" s="1"/>
      <c r="D19" s="1"/>
      <c r="E19" s="1"/>
      <c r="I19" s="1"/>
      <c r="J19" s="1"/>
      <c r="P19" s="37"/>
      <c r="Q19" s="10"/>
      <c r="R19" s="10"/>
      <c r="S19" s="21"/>
      <c r="T19" s="37"/>
      <c r="U19" s="21"/>
      <c r="V19" s="37"/>
      <c r="W19" s="45"/>
    </row>
    <row r="20" spans="1:26" x14ac:dyDescent="0.25">
      <c r="A20" t="s">
        <v>4</v>
      </c>
      <c r="B20" s="1"/>
      <c r="C20" s="1"/>
      <c r="D20" s="1"/>
      <c r="E20" s="1"/>
      <c r="F20" s="1"/>
      <c r="I20" s="1"/>
      <c r="J20" s="1"/>
      <c r="P20" s="37"/>
      <c r="Q20" s="10"/>
      <c r="R20" s="10"/>
      <c r="S20" s="21"/>
      <c r="T20" s="37"/>
      <c r="U20" s="21"/>
      <c r="V20" s="37"/>
      <c r="W20" s="45"/>
    </row>
    <row r="21" spans="1:26" x14ac:dyDescent="0.25">
      <c r="A21" t="s">
        <v>14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>-8112-3605</f>
        <v>-11717</v>
      </c>
      <c r="K21" s="1">
        <v>0</v>
      </c>
      <c r="L21" s="1">
        <f>K21</f>
        <v>0</v>
      </c>
      <c r="M21" s="1">
        <f>-2319.19-844-303.64-1</f>
        <v>-3467.83</v>
      </c>
      <c r="N21" s="10">
        <f>-138657+13292-43264-11510-877-5251-67-2030-129-674-20-33907+32071</f>
        <v>-191023</v>
      </c>
      <c r="O21" s="10">
        <f>-187902.7+3125.37-75378.78-4661.33-330-7633.21-189.78+190.85-9216.81-18865.35+9990.69-1540-500-4</f>
        <v>-292915.05000000005</v>
      </c>
      <c r="P21" s="37">
        <v>-268274</v>
      </c>
      <c r="Q21" s="10">
        <f>-192447.84-78175.49-21266.08+5663.7+1887.9+1887.9-6254.12-605-509913.46+509060-3960-2811.96-1286-9606.31+324.94+2685.23+1359.13+1376.88-840-258-4070.85+4035.6+4</f>
        <v>-303209.83</v>
      </c>
      <c r="R21" s="10">
        <f>-113509-3003-125-15997-8913-18234-2523-667-290-1348-86-143-52-254-745-1885-2153-1800-2055-96-95-425-1</f>
        <v>-174399</v>
      </c>
      <c r="S21" s="21">
        <f>-197621-125-27825-15118-33305-3386-1248-514-3000-1000-86-246-746-254-95-1520-3000-3000-1000-1000-3960-3000-3523-2000-500+1</f>
        <v>-307071</v>
      </c>
      <c r="T21" s="37">
        <v>-280949</v>
      </c>
      <c r="U21" s="21">
        <f>-289000-28027-15223-33305-3384-1248-517-5372-1000-2040-1000-1520-3000-3000-1000-1000-3960-3000-3523-4165-500-110</f>
        <v>-404894</v>
      </c>
      <c r="V21" s="37">
        <v>-287509</v>
      </c>
      <c r="W21" s="45">
        <v>-294222</v>
      </c>
    </row>
    <row r="22" spans="1:26" x14ac:dyDescent="0.25">
      <c r="A22" t="s">
        <v>18</v>
      </c>
      <c r="B22" s="1"/>
      <c r="C22" s="1"/>
      <c r="D22" s="1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0">
        <v>-32071</v>
      </c>
      <c r="O22" s="10">
        <v>0</v>
      </c>
      <c r="P22" s="37">
        <v>0</v>
      </c>
      <c r="Q22" s="10"/>
      <c r="R22" s="10">
        <v>0</v>
      </c>
      <c r="S22" s="21">
        <v>0</v>
      </c>
      <c r="T22" s="37">
        <v>0</v>
      </c>
      <c r="U22" s="21">
        <v>0</v>
      </c>
      <c r="V22" s="37">
        <v>0</v>
      </c>
      <c r="W22" s="45">
        <v>0</v>
      </c>
    </row>
    <row r="23" spans="1:26" x14ac:dyDescent="0.25">
      <c r="A23" s="17" t="s">
        <v>43</v>
      </c>
      <c r="B23" s="1"/>
      <c r="C23" s="1"/>
      <c r="D23" s="1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0">
        <v>-79399.289999999994</v>
      </c>
      <c r="O23" s="10">
        <f>-64936.61-120040.61+189.78</f>
        <v>-184787.44</v>
      </c>
      <c r="P23" s="37">
        <v>-92102</v>
      </c>
      <c r="Q23" s="10">
        <v>-117274</v>
      </c>
      <c r="R23" s="10">
        <v>-179822</v>
      </c>
      <c r="S23" s="21">
        <f>-120000-60000</f>
        <v>-180000</v>
      </c>
      <c r="T23" s="37">
        <v>-96454</v>
      </c>
      <c r="U23" s="21">
        <f>-120000-128696+5596</f>
        <v>-243100</v>
      </c>
      <c r="V23" s="37">
        <v>-98706</v>
      </c>
      <c r="W23" s="45">
        <v>-101011</v>
      </c>
    </row>
    <row r="24" spans="1:26" x14ac:dyDescent="0.25">
      <c r="A24" s="17" t="s">
        <v>25</v>
      </c>
      <c r="B24" s="1">
        <v>0</v>
      </c>
      <c r="C24" s="1">
        <v>0</v>
      </c>
      <c r="D24" s="1">
        <v>0</v>
      </c>
      <c r="E24" s="1">
        <v>0</v>
      </c>
      <c r="F24" s="1">
        <v>-2025</v>
      </c>
      <c r="G24" s="1">
        <v>-1644.43</v>
      </c>
      <c r="H24" s="1">
        <v>-90</v>
      </c>
      <c r="I24" s="1">
        <v>0</v>
      </c>
      <c r="J24" s="1">
        <f>I24</f>
        <v>0</v>
      </c>
      <c r="K24" s="1">
        <v>-2482</v>
      </c>
      <c r="L24" s="1">
        <f>-378.02-1544.2+1</f>
        <v>-1921.22</v>
      </c>
      <c r="M24" s="1">
        <f>-50000-4043-2236-4670-778</f>
        <v>-61727</v>
      </c>
      <c r="N24" s="10">
        <f>-54914.6-6476.45</f>
        <v>-61391.049999999996</v>
      </c>
      <c r="O24" s="10">
        <f>-79999.92-9990.69-4035.6-190.85</f>
        <v>-94217.060000000012</v>
      </c>
      <c r="P24" s="37">
        <v>-53655</v>
      </c>
      <c r="Q24" s="10">
        <f>-90560-4036-9606.31+3860.13-5663.7-1887.9-1887.9</f>
        <v>-109781.67999999998</v>
      </c>
      <c r="R24" s="10">
        <f>-53544-3404</f>
        <v>-56948</v>
      </c>
      <c r="S24" s="21">
        <f>-88908-20000</f>
        <v>-108908</v>
      </c>
      <c r="T24" s="37">
        <v>-56190</v>
      </c>
      <c r="U24" s="21">
        <f>-10000-94255-20000-8750-20000</f>
        <v>-153005</v>
      </c>
      <c r="V24" s="37">
        <v>-57502</v>
      </c>
      <c r="W24" s="45">
        <v>-58844</v>
      </c>
    </row>
    <row r="25" spans="1:26" x14ac:dyDescent="0.25">
      <c r="A25" t="s">
        <v>9</v>
      </c>
      <c r="B25" s="1">
        <v>0</v>
      </c>
      <c r="C25" s="1">
        <v>-1042212</v>
      </c>
      <c r="D25" s="1">
        <f>-662226</f>
        <v>-662226</v>
      </c>
      <c r="E25" s="1">
        <f>-(165707.17*12)+385752.85</f>
        <v>-1602733.19</v>
      </c>
      <c r="F25" s="1">
        <v>-1674783.62</v>
      </c>
      <c r="G25" s="1">
        <v>-1865190</v>
      </c>
      <c r="H25" s="1">
        <v>-2217074</v>
      </c>
      <c r="I25" s="10">
        <v>-2932997</v>
      </c>
      <c r="J25" s="10">
        <v>-5602998</v>
      </c>
      <c r="K25" s="10">
        <v>-4792189</v>
      </c>
      <c r="L25" s="10">
        <v>-4982297.1100000003</v>
      </c>
      <c r="M25" s="1">
        <v>-6170701.5099999998</v>
      </c>
      <c r="N25" s="10">
        <v>-6346348.0899999999</v>
      </c>
      <c r="O25" s="10">
        <v>-6640099</v>
      </c>
      <c r="P25" s="37">
        <v>-6418790</v>
      </c>
      <c r="Q25" s="10">
        <v>-6744500</v>
      </c>
      <c r="R25" s="10">
        <v>-4029157</v>
      </c>
      <c r="S25" s="21">
        <v>-6908266</v>
      </c>
      <c r="T25" s="37">
        <v>-6722054</v>
      </c>
      <c r="U25" s="21">
        <f>-((6907127*1.063)+1500)</f>
        <v>-7343776.0009999992</v>
      </c>
      <c r="V25" s="37">
        <v>-6879017</v>
      </c>
      <c r="W25" s="45">
        <v>-7039645</v>
      </c>
      <c r="Y25" s="1"/>
      <c r="Z25" s="1"/>
    </row>
    <row r="26" spans="1:26" ht="12.75" customHeight="1" x14ac:dyDescent="0.25">
      <c r="A26" t="s">
        <v>19</v>
      </c>
      <c r="B26" s="1">
        <v>0</v>
      </c>
      <c r="C26" s="1">
        <v>0</v>
      </c>
      <c r="D26" s="1">
        <v>0</v>
      </c>
      <c r="E26" s="1">
        <v>0</v>
      </c>
      <c r="F26" s="1">
        <v>-15000</v>
      </c>
      <c r="G26" s="10">
        <f>-40000+5000</f>
        <v>-35000</v>
      </c>
      <c r="H26" s="1">
        <v>0</v>
      </c>
      <c r="I26" s="10">
        <v>0</v>
      </c>
      <c r="J26" s="10">
        <f>I26</f>
        <v>0</v>
      </c>
      <c r="K26" s="10">
        <f>J26</f>
        <v>0</v>
      </c>
      <c r="L26" s="10">
        <f>K26</f>
        <v>0</v>
      </c>
      <c r="M26" s="1">
        <v>-208532</v>
      </c>
      <c r="N26" s="10">
        <v>-209684</v>
      </c>
      <c r="O26" s="10">
        <v>-213315.55</v>
      </c>
      <c r="P26" s="37">
        <v>-222844</v>
      </c>
      <c r="Q26" s="10">
        <v>-70094</v>
      </c>
      <c r="R26" s="10">
        <f>-58256.72</f>
        <v>-58256.72</v>
      </c>
      <c r="S26" s="21">
        <v>-58257</v>
      </c>
      <c r="T26" s="37">
        <v>-231847</v>
      </c>
      <c r="U26" s="21">
        <v>-75000</v>
      </c>
      <c r="V26" s="37">
        <v>-236484</v>
      </c>
      <c r="W26" s="45">
        <v>-241213</v>
      </c>
    </row>
    <row r="27" spans="1:26" x14ac:dyDescent="0.25">
      <c r="A27" t="s">
        <v>8</v>
      </c>
      <c r="B27" s="9">
        <v>0</v>
      </c>
      <c r="C27" s="9">
        <v>0</v>
      </c>
      <c r="D27" s="9">
        <v>-85866.59</v>
      </c>
      <c r="E27" s="9">
        <f>-(83277.17+110185.4+33456.33+18514.51)</f>
        <v>-245433.41000000003</v>
      </c>
      <c r="F27" s="9">
        <v>-76971.600000000006</v>
      </c>
      <c r="G27" s="9">
        <v>-88720.82</v>
      </c>
      <c r="H27" s="9">
        <v>-87395</v>
      </c>
      <c r="I27" s="11">
        <v>-97542</v>
      </c>
      <c r="J27" s="10">
        <v>-970962</v>
      </c>
      <c r="K27" s="10">
        <v>-1502675</v>
      </c>
      <c r="L27" s="10">
        <v>-1555269</v>
      </c>
      <c r="M27" s="1">
        <v>-1849770</v>
      </c>
      <c r="N27" s="10">
        <v>-1907953.45</v>
      </c>
      <c r="O27" s="10">
        <v>-1973854</v>
      </c>
      <c r="P27" s="37">
        <v>-1927163</v>
      </c>
      <c r="Q27" s="10">
        <v>-2016148</v>
      </c>
      <c r="R27" s="55">
        <v>-1209705</v>
      </c>
      <c r="S27" s="21">
        <v>-2088880</v>
      </c>
      <c r="T27" s="37">
        <v>-2018214</v>
      </c>
      <c r="U27" s="21">
        <f>-((2073780*1.063)+15000)</f>
        <v>-2219428.1399999997</v>
      </c>
      <c r="V27" s="37">
        <v>-2065340</v>
      </c>
      <c r="W27" s="45">
        <v>-2113567</v>
      </c>
      <c r="Y27" s="1"/>
    </row>
    <row r="28" spans="1:26" hidden="1" x14ac:dyDescent="0.25">
      <c r="A28" t="s">
        <v>10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-47763</v>
      </c>
      <c r="I28" s="11">
        <v>0</v>
      </c>
      <c r="J28" s="1">
        <f>I28</f>
        <v>0</v>
      </c>
      <c r="K28" s="1">
        <f>J28</f>
        <v>0</v>
      </c>
      <c r="L28" s="1">
        <f>K28</f>
        <v>0</v>
      </c>
      <c r="M28" s="1">
        <v>0</v>
      </c>
      <c r="N28" s="10">
        <v>0</v>
      </c>
      <c r="O28" s="10"/>
      <c r="P28" s="37"/>
      <c r="Q28" s="10"/>
      <c r="R28" s="10"/>
      <c r="S28" s="21"/>
      <c r="T28" s="37"/>
      <c r="U28" s="21"/>
      <c r="V28" s="37"/>
      <c r="W28" s="45"/>
    </row>
    <row r="29" spans="1:26" x14ac:dyDescent="0.25">
      <c r="A29" t="s">
        <v>15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1">
        <v>0</v>
      </c>
      <c r="J29" s="1">
        <v>-1023466</v>
      </c>
      <c r="K29" s="1">
        <v>-859853</v>
      </c>
      <c r="L29" s="1">
        <v>-939979</v>
      </c>
      <c r="M29" s="9">
        <v>-971129</v>
      </c>
      <c r="N29" s="11">
        <v>-1280486</v>
      </c>
      <c r="O29" s="11">
        <v>-1601861</v>
      </c>
      <c r="P29" s="37">
        <v>-1032881</v>
      </c>
      <c r="Q29" s="10">
        <v>-1515616</v>
      </c>
      <c r="R29" s="10">
        <v>-893731.5</v>
      </c>
      <c r="S29" s="21">
        <v>-1787463</v>
      </c>
      <c r="T29" s="37">
        <v>-1081681</v>
      </c>
      <c r="U29" s="21">
        <v>-2155075</v>
      </c>
      <c r="V29" s="37">
        <v>-1106939</v>
      </c>
      <c r="W29" s="45">
        <v>-1132786</v>
      </c>
      <c r="Y29" s="52"/>
    </row>
    <row r="30" spans="1:26" x14ac:dyDescent="0.25">
      <c r="A30" t="s">
        <v>44</v>
      </c>
      <c r="B30" s="2"/>
      <c r="C30" s="2"/>
      <c r="D30" s="2"/>
      <c r="E30" s="2"/>
      <c r="F30" s="2"/>
      <c r="G30" s="2"/>
      <c r="H30" s="2"/>
      <c r="I30" s="11"/>
      <c r="J30" s="1"/>
      <c r="K30" s="1"/>
      <c r="L30" s="1">
        <v>0</v>
      </c>
      <c r="M30" s="9">
        <v>0</v>
      </c>
      <c r="N30" s="11">
        <v>0</v>
      </c>
      <c r="O30" s="11">
        <v>0</v>
      </c>
      <c r="P30" s="37"/>
      <c r="Q30" s="10">
        <v>0</v>
      </c>
      <c r="R30" s="10">
        <f>-38432-29817</f>
        <v>-68249</v>
      </c>
      <c r="S30" s="21">
        <f>-51115-65883</f>
        <v>-116998</v>
      </c>
      <c r="T30" s="37">
        <v>0</v>
      </c>
      <c r="U30" s="21">
        <f>-52137-67201</f>
        <v>-119338</v>
      </c>
      <c r="V30" s="37">
        <v>0</v>
      </c>
      <c r="W30" s="45">
        <v>0</v>
      </c>
    </row>
    <row r="31" spans="1:26" x14ac:dyDescent="0.25">
      <c r="A31" s="7" t="s">
        <v>24</v>
      </c>
      <c r="B31" s="2"/>
      <c r="C31" s="2"/>
      <c r="D31" s="2"/>
      <c r="E31" s="2"/>
      <c r="F31" s="2"/>
      <c r="G31" s="2"/>
      <c r="H31" s="2"/>
      <c r="I31" s="11"/>
      <c r="J31" s="1"/>
      <c r="K31" s="1"/>
      <c r="L31" s="1"/>
      <c r="M31" s="9"/>
      <c r="N31" s="11"/>
      <c r="O31" s="11"/>
      <c r="P31" s="37"/>
      <c r="Q31" s="10"/>
      <c r="R31" s="10"/>
      <c r="S31" s="21"/>
      <c r="T31" s="37"/>
      <c r="U31" s="21"/>
      <c r="V31" s="37"/>
      <c r="W31" s="45"/>
    </row>
    <row r="32" spans="1:26" x14ac:dyDescent="0.25">
      <c r="A32" s="17" t="s">
        <v>20</v>
      </c>
      <c r="B32" s="2"/>
      <c r="C32" s="2"/>
      <c r="D32" s="2"/>
      <c r="E32" s="2"/>
      <c r="F32" s="2"/>
      <c r="G32" s="2"/>
      <c r="H32" s="2"/>
      <c r="I32" s="11"/>
      <c r="J32" s="1">
        <v>0</v>
      </c>
      <c r="K32" s="1">
        <v>0</v>
      </c>
      <c r="L32" s="1">
        <v>0</v>
      </c>
      <c r="M32" s="1">
        <v>0</v>
      </c>
      <c r="N32" s="11">
        <v>0</v>
      </c>
      <c r="O32" s="11">
        <v>0</v>
      </c>
      <c r="P32" s="37">
        <v>0</v>
      </c>
      <c r="Q32" s="10">
        <v>0</v>
      </c>
      <c r="R32" s="10">
        <v>0</v>
      </c>
      <c r="S32" s="21">
        <v>0</v>
      </c>
      <c r="T32" s="37">
        <v>0</v>
      </c>
      <c r="U32" s="21">
        <v>0</v>
      </c>
      <c r="V32" s="37">
        <v>0</v>
      </c>
      <c r="W32" s="45">
        <v>0</v>
      </c>
    </row>
    <row r="33" spans="1:25" x14ac:dyDescent="0.25">
      <c r="A33" s="17" t="s">
        <v>39</v>
      </c>
      <c r="B33" s="2"/>
      <c r="C33" s="2"/>
      <c r="D33" s="2"/>
      <c r="E33" s="2"/>
      <c r="F33" s="2"/>
      <c r="G33" s="2"/>
      <c r="H33" s="2"/>
      <c r="I33" s="11"/>
      <c r="J33" s="1"/>
      <c r="K33" s="1"/>
      <c r="L33" s="1">
        <v>0</v>
      </c>
      <c r="M33" s="1">
        <v>0</v>
      </c>
      <c r="N33" s="11">
        <v>0</v>
      </c>
      <c r="O33" s="11">
        <v>0</v>
      </c>
      <c r="P33" s="37"/>
      <c r="Q33" s="10">
        <f>-18996</f>
        <v>-18996</v>
      </c>
      <c r="R33" s="10">
        <v>-62788</v>
      </c>
      <c r="S33" s="21">
        <v>-123218</v>
      </c>
      <c r="T33" s="37">
        <v>0</v>
      </c>
      <c r="U33" s="21">
        <f>-122147-56100</f>
        <v>-178247</v>
      </c>
      <c r="V33" s="37">
        <v>0</v>
      </c>
      <c r="W33" s="45">
        <v>0</v>
      </c>
      <c r="Y33" s="1"/>
    </row>
    <row r="34" spans="1:25" x14ac:dyDescent="0.25">
      <c r="A34" s="17" t="s">
        <v>57</v>
      </c>
      <c r="B34" s="2"/>
      <c r="C34" s="2"/>
      <c r="D34" s="2"/>
      <c r="E34" s="2"/>
      <c r="F34" s="2"/>
      <c r="G34" s="2"/>
      <c r="H34" s="2"/>
      <c r="I34" s="11"/>
      <c r="J34" s="1">
        <v>0</v>
      </c>
      <c r="K34" s="1">
        <v>0</v>
      </c>
      <c r="L34" s="1">
        <v>0</v>
      </c>
      <c r="M34" s="1">
        <v>0</v>
      </c>
      <c r="N34" s="11">
        <f>-21591-3450</f>
        <v>-25041</v>
      </c>
      <c r="O34" s="11">
        <v>-238225</v>
      </c>
      <c r="P34" s="37">
        <v>0</v>
      </c>
      <c r="Q34" s="10">
        <v>-1011349.16</v>
      </c>
      <c r="R34" s="10">
        <f>-235903-6490</f>
        <v>-242393</v>
      </c>
      <c r="S34" s="21">
        <f>-1000353-6490</f>
        <v>-1006843</v>
      </c>
      <c r="T34" s="37">
        <v>0</v>
      </c>
      <c r="U34" s="21">
        <f>-1555200</f>
        <v>-1555200</v>
      </c>
      <c r="V34" s="37">
        <v>0</v>
      </c>
      <c r="W34" s="45">
        <v>0</v>
      </c>
    </row>
    <row r="35" spans="1:25" x14ac:dyDescent="0.25">
      <c r="A35" s="17" t="s">
        <v>58</v>
      </c>
      <c r="B35" s="2"/>
      <c r="C35" s="2"/>
      <c r="D35" s="2"/>
      <c r="E35" s="2"/>
      <c r="F35" s="2"/>
      <c r="G35" s="2"/>
      <c r="H35" s="2"/>
      <c r="I35" s="11"/>
      <c r="J35" s="1"/>
      <c r="K35" s="1"/>
      <c r="L35" s="1">
        <v>0</v>
      </c>
      <c r="M35" s="1">
        <v>0</v>
      </c>
      <c r="N35" s="11">
        <v>0</v>
      </c>
      <c r="O35" s="11">
        <v>0</v>
      </c>
      <c r="P35" s="37"/>
      <c r="Q35" s="10">
        <v>0</v>
      </c>
      <c r="R35" s="10">
        <v>0</v>
      </c>
      <c r="S35" s="21">
        <v>0</v>
      </c>
      <c r="T35" s="37">
        <v>0</v>
      </c>
      <c r="U35" s="21">
        <v>-239544</v>
      </c>
      <c r="V35" s="37"/>
      <c r="W35" s="45"/>
    </row>
    <row r="36" spans="1:25" x14ac:dyDescent="0.25">
      <c r="A36" s="17" t="s">
        <v>21</v>
      </c>
      <c r="B36" s="2"/>
      <c r="C36" s="2"/>
      <c r="D36" s="2"/>
      <c r="E36" s="2"/>
      <c r="F36" s="2"/>
      <c r="G36" s="2"/>
      <c r="H36" s="2"/>
      <c r="I36" s="11"/>
      <c r="J36" s="1">
        <v>0</v>
      </c>
      <c r="K36" s="1">
        <v>0</v>
      </c>
      <c r="L36" s="1">
        <v>0</v>
      </c>
      <c r="M36" s="1">
        <v>0</v>
      </c>
      <c r="N36" s="11">
        <v>0</v>
      </c>
      <c r="O36" s="11">
        <v>-172143</v>
      </c>
      <c r="P36" s="37">
        <v>-170708</v>
      </c>
      <c r="Q36" s="10">
        <v>-313902</v>
      </c>
      <c r="R36" s="10">
        <v>-234281</v>
      </c>
      <c r="S36" s="21">
        <v>-577050</v>
      </c>
      <c r="T36" s="37">
        <v>-178773</v>
      </c>
      <c r="U36" s="21">
        <v>-590000</v>
      </c>
      <c r="V36" s="37">
        <v>-182948</v>
      </c>
      <c r="W36" s="45">
        <v>-187220</v>
      </c>
    </row>
    <row r="37" spans="1:25" x14ac:dyDescent="0.25">
      <c r="A37" s="17" t="s">
        <v>50</v>
      </c>
      <c r="B37" s="2"/>
      <c r="C37" s="2"/>
      <c r="D37" s="2"/>
      <c r="E37" s="2"/>
      <c r="F37" s="2"/>
      <c r="G37" s="2"/>
      <c r="H37" s="2"/>
      <c r="I37" s="11"/>
      <c r="J37" s="1">
        <v>0</v>
      </c>
      <c r="K37" s="1">
        <v>0</v>
      </c>
      <c r="L37" s="1">
        <v>0</v>
      </c>
      <c r="M37" s="1">
        <v>0</v>
      </c>
      <c r="N37" s="11">
        <v>0</v>
      </c>
      <c r="O37" s="11">
        <v>0</v>
      </c>
      <c r="P37" s="37">
        <v>0</v>
      </c>
      <c r="Q37" s="10">
        <v>0</v>
      </c>
      <c r="R37" s="10">
        <v>-509060</v>
      </c>
      <c r="S37" s="21">
        <v>-509060</v>
      </c>
      <c r="T37" s="37">
        <v>0</v>
      </c>
      <c r="U37" s="21">
        <f>-509060</f>
        <v>-509060</v>
      </c>
      <c r="V37" s="37">
        <v>0</v>
      </c>
      <c r="W37" s="45">
        <v>0</v>
      </c>
    </row>
    <row r="38" spans="1:25" x14ac:dyDescent="0.25">
      <c r="A38" s="17" t="s">
        <v>32</v>
      </c>
      <c r="B38" s="2"/>
      <c r="C38" s="2"/>
      <c r="D38" s="2"/>
      <c r="E38" s="2"/>
      <c r="F38" s="2"/>
      <c r="G38" s="2"/>
      <c r="H38" s="2"/>
      <c r="I38" s="11"/>
      <c r="J38" s="1">
        <v>0</v>
      </c>
      <c r="K38" s="1">
        <v>0</v>
      </c>
      <c r="L38" s="1">
        <v>0</v>
      </c>
      <c r="M38" s="1">
        <v>-2600</v>
      </c>
      <c r="N38" s="11">
        <f>-13292-2227-1525</f>
        <v>-17044</v>
      </c>
      <c r="O38" s="11">
        <f>-(3125.37+41647+3242.16)</f>
        <v>-48014.53</v>
      </c>
      <c r="P38" s="37">
        <v>0</v>
      </c>
      <c r="Q38" s="10">
        <v>0</v>
      </c>
      <c r="R38" s="10">
        <v>0</v>
      </c>
      <c r="S38" s="21">
        <v>0</v>
      </c>
      <c r="T38" s="37">
        <v>0</v>
      </c>
      <c r="U38" s="21">
        <v>0</v>
      </c>
      <c r="V38" s="37">
        <v>0</v>
      </c>
      <c r="W38" s="45">
        <v>0</v>
      </c>
    </row>
    <row r="39" spans="1:25" x14ac:dyDescent="0.25">
      <c r="A39" s="17" t="s">
        <v>40</v>
      </c>
      <c r="B39" s="2"/>
      <c r="C39" s="2"/>
      <c r="D39" s="2"/>
      <c r="E39" s="2"/>
      <c r="F39" s="2"/>
      <c r="G39" s="2"/>
      <c r="H39" s="2"/>
      <c r="I39" s="11"/>
      <c r="J39" s="1"/>
      <c r="K39" s="1"/>
      <c r="L39" s="1">
        <v>0</v>
      </c>
      <c r="M39" s="1">
        <v>0</v>
      </c>
      <c r="N39" s="11">
        <v>0</v>
      </c>
      <c r="O39" s="11">
        <v>0</v>
      </c>
      <c r="P39" s="37"/>
      <c r="Q39" s="10">
        <v>924</v>
      </c>
      <c r="R39" s="10">
        <v>0</v>
      </c>
      <c r="S39" s="21">
        <v>0</v>
      </c>
      <c r="T39" s="37">
        <v>0</v>
      </c>
      <c r="U39" s="21">
        <v>0</v>
      </c>
      <c r="V39" s="37">
        <v>0</v>
      </c>
      <c r="W39" s="45">
        <v>0</v>
      </c>
    </row>
    <row r="40" spans="1:25" x14ac:dyDescent="0.25">
      <c r="A40" s="17" t="s">
        <v>22</v>
      </c>
      <c r="B40" s="2"/>
      <c r="C40" s="2"/>
      <c r="D40" s="2"/>
      <c r="E40" s="2"/>
      <c r="F40" s="2"/>
      <c r="G40" s="2"/>
      <c r="H40" s="2"/>
      <c r="I40" s="11"/>
      <c r="J40" s="1">
        <v>0</v>
      </c>
      <c r="K40" s="1">
        <v>0</v>
      </c>
      <c r="L40" s="1">
        <v>0</v>
      </c>
      <c r="M40" s="1">
        <v>0</v>
      </c>
      <c r="N40" s="11">
        <v>0</v>
      </c>
      <c r="O40" s="11">
        <v>0</v>
      </c>
      <c r="P40" s="11">
        <v>0</v>
      </c>
      <c r="Q40" s="11">
        <v>0</v>
      </c>
      <c r="R40" s="10">
        <v>0</v>
      </c>
      <c r="S40" s="21">
        <v>-591000</v>
      </c>
      <c r="T40" s="37">
        <v>-1009107</v>
      </c>
      <c r="U40" s="21">
        <v>-1496500</v>
      </c>
      <c r="V40" s="37">
        <v>-2065340</v>
      </c>
      <c r="W40" s="45">
        <v>-2113567</v>
      </c>
    </row>
    <row r="41" spans="1:25" x14ac:dyDescent="0.25">
      <c r="A41" t="s">
        <v>1</v>
      </c>
      <c r="B41" s="8">
        <f t="shared" ref="B41:I41" si="4">SUM(B21:B29)</f>
        <v>0</v>
      </c>
      <c r="C41" s="8">
        <f t="shared" si="4"/>
        <v>-1042212</v>
      </c>
      <c r="D41" s="8">
        <f t="shared" si="4"/>
        <v>-748092.59</v>
      </c>
      <c r="E41" s="8">
        <f t="shared" si="4"/>
        <v>-1848166.6</v>
      </c>
      <c r="F41" s="8">
        <f t="shared" si="4"/>
        <v>-1768780.2200000002</v>
      </c>
      <c r="G41" s="8">
        <f t="shared" si="4"/>
        <v>-1990555.25</v>
      </c>
      <c r="H41" s="8">
        <f t="shared" si="4"/>
        <v>-2352322</v>
      </c>
      <c r="I41" s="8">
        <f t="shared" si="4"/>
        <v>-3030539</v>
      </c>
      <c r="J41" s="8">
        <f t="shared" ref="J41:W41" si="5">SUM(J21:J40)</f>
        <v>-7609143</v>
      </c>
      <c r="K41" s="8">
        <f t="shared" si="5"/>
        <v>-7157199</v>
      </c>
      <c r="L41" s="8">
        <f t="shared" si="5"/>
        <v>-7479466.3300000001</v>
      </c>
      <c r="M41" s="8">
        <f t="shared" si="5"/>
        <v>-9267927.3399999999</v>
      </c>
      <c r="N41" s="29">
        <f t="shared" si="5"/>
        <v>-10150440.879999999</v>
      </c>
      <c r="O41" s="29">
        <f t="shared" si="5"/>
        <v>-11459431.629999999</v>
      </c>
      <c r="P41" s="29">
        <f t="shared" si="5"/>
        <v>-10186417</v>
      </c>
      <c r="Q41" s="29">
        <f t="shared" si="5"/>
        <v>-12219946.67</v>
      </c>
      <c r="R41" s="29">
        <f t="shared" si="5"/>
        <v>-7718790.2199999997</v>
      </c>
      <c r="S41" s="23">
        <f t="shared" si="5"/>
        <v>-14363014</v>
      </c>
      <c r="T41" s="39">
        <f t="shared" si="5"/>
        <v>-11675269</v>
      </c>
      <c r="U41" s="23">
        <f t="shared" si="5"/>
        <v>-17282167.140999999</v>
      </c>
      <c r="V41" s="39">
        <f t="shared" si="5"/>
        <v>-12979785</v>
      </c>
      <c r="W41" s="47">
        <f t="shared" si="5"/>
        <v>-13282075</v>
      </c>
    </row>
    <row r="42" spans="1:25" hidden="1" x14ac:dyDescent="0.25">
      <c r="A42" t="s">
        <v>36</v>
      </c>
      <c r="B42" s="1"/>
      <c r="C42" s="1"/>
      <c r="D42" s="1"/>
      <c r="E42" s="1"/>
      <c r="F42" s="1"/>
      <c r="I42" s="1"/>
      <c r="J42" s="1"/>
      <c r="O42" s="11"/>
      <c r="P42" s="37"/>
      <c r="Q42" s="10"/>
      <c r="R42" s="10"/>
      <c r="S42" s="21"/>
      <c r="T42" s="37"/>
      <c r="U42" s="21"/>
      <c r="V42" s="37"/>
      <c r="W42" s="45"/>
    </row>
    <row r="43" spans="1:25" x14ac:dyDescent="0.25">
      <c r="A43" t="s">
        <v>7</v>
      </c>
      <c r="B43" s="2">
        <f t="shared" ref="B43:W43" si="6">B18+B41</f>
        <v>1226799</v>
      </c>
      <c r="C43" s="2">
        <f t="shared" si="6"/>
        <v>983541</v>
      </c>
      <c r="D43" s="2">
        <f t="shared" si="6"/>
        <v>1465585.4100000001</v>
      </c>
      <c r="E43" s="2">
        <f t="shared" si="6"/>
        <v>270834.10999999987</v>
      </c>
      <c r="F43" s="2">
        <f t="shared" si="6"/>
        <v>203382.75999999978</v>
      </c>
      <c r="G43" s="2">
        <f t="shared" si="6"/>
        <v>59064.75</v>
      </c>
      <c r="H43" s="2">
        <f t="shared" si="6"/>
        <v>-218103.00999999978</v>
      </c>
      <c r="I43" s="2">
        <f t="shared" si="6"/>
        <v>-791470.25999999978</v>
      </c>
      <c r="J43" s="2">
        <f t="shared" si="6"/>
        <v>-1501461.17</v>
      </c>
      <c r="K43" s="2">
        <f t="shared" si="6"/>
        <v>-400082.70000000019</v>
      </c>
      <c r="L43" s="2">
        <f t="shared" si="6"/>
        <v>-1166644.8499999996</v>
      </c>
      <c r="M43" s="2">
        <f t="shared" si="6"/>
        <v>3572916.9499999993</v>
      </c>
      <c r="N43" s="14">
        <f t="shared" si="6"/>
        <v>3747984.120000001</v>
      </c>
      <c r="O43" s="14">
        <f t="shared" si="6"/>
        <v>6639868.370000001</v>
      </c>
      <c r="P43" s="14">
        <f t="shared" si="6"/>
        <v>2598366</v>
      </c>
      <c r="Q43" s="14">
        <f t="shared" si="6"/>
        <v>4665117.42</v>
      </c>
      <c r="R43" s="14">
        <f t="shared" si="6"/>
        <v>1765539.7800000003</v>
      </c>
      <c r="S43" s="22">
        <f t="shared" si="6"/>
        <v>2590210</v>
      </c>
      <c r="T43" s="38">
        <f t="shared" si="6"/>
        <v>1399629</v>
      </c>
      <c r="U43" s="22">
        <f t="shared" si="6"/>
        <v>-494905.1409999989</v>
      </c>
      <c r="V43" s="38">
        <f t="shared" si="6"/>
        <v>241517</v>
      </c>
      <c r="W43" s="46">
        <f t="shared" si="6"/>
        <v>86577</v>
      </c>
    </row>
    <row r="44" spans="1:25" x14ac:dyDescent="0.25">
      <c r="B44" s="1"/>
      <c r="C44" s="1"/>
      <c r="D44" s="1"/>
      <c r="E44" s="1"/>
      <c r="F44" s="1"/>
      <c r="I44" s="1"/>
      <c r="J44" s="1"/>
      <c r="K44" s="1"/>
      <c r="L44" s="1"/>
      <c r="P44" s="37"/>
      <c r="Q44" s="10"/>
      <c r="R44" s="10"/>
      <c r="S44" s="21"/>
      <c r="T44" s="37"/>
      <c r="U44" s="21"/>
      <c r="V44" s="37"/>
      <c r="W44" s="45"/>
    </row>
    <row r="45" spans="1:25" ht="13.8" thickBot="1" x14ac:dyDescent="0.3">
      <c r="A45" t="s">
        <v>2</v>
      </c>
      <c r="B45" s="3">
        <f t="shared" ref="B45:Q45" si="7">B6+B43</f>
        <v>1226799</v>
      </c>
      <c r="C45" s="3">
        <f t="shared" si="7"/>
        <v>2210340</v>
      </c>
      <c r="D45" s="3">
        <f t="shared" si="7"/>
        <v>3675925.41</v>
      </c>
      <c r="E45" s="3">
        <f t="shared" si="7"/>
        <v>3946759.52</v>
      </c>
      <c r="F45" s="3">
        <f t="shared" si="7"/>
        <v>4150142.28</v>
      </c>
      <c r="G45" s="3">
        <f t="shared" si="7"/>
        <v>4209207.0299999993</v>
      </c>
      <c r="H45" s="3">
        <f t="shared" si="7"/>
        <v>3991104.0199999996</v>
      </c>
      <c r="I45" s="3">
        <f t="shared" si="7"/>
        <v>3199633.76</v>
      </c>
      <c r="J45" s="3">
        <f t="shared" si="7"/>
        <v>1698172.5899999999</v>
      </c>
      <c r="K45" s="3">
        <f t="shared" si="7"/>
        <v>1298089.8899999997</v>
      </c>
      <c r="L45" s="3">
        <f t="shared" si="7"/>
        <v>131445.04000000004</v>
      </c>
      <c r="M45" s="3">
        <f t="shared" si="7"/>
        <v>3704361.9899999993</v>
      </c>
      <c r="N45" s="30">
        <f t="shared" si="7"/>
        <v>7452346.1100000003</v>
      </c>
      <c r="O45" s="30">
        <f t="shared" si="7"/>
        <v>14092214.48</v>
      </c>
      <c r="P45" s="30">
        <f t="shared" si="7"/>
        <v>8083895</v>
      </c>
      <c r="Q45" s="30">
        <f t="shared" si="7"/>
        <v>18757331.899999999</v>
      </c>
      <c r="R45" s="30"/>
      <c r="S45" s="24">
        <f>S6+S43</f>
        <v>21347541.899999999</v>
      </c>
      <c r="T45" s="40">
        <f>T6+T43</f>
        <v>11003317</v>
      </c>
      <c r="U45" s="24">
        <f>U6+U43</f>
        <v>20852636.759</v>
      </c>
      <c r="V45" s="40">
        <f>V6+V43</f>
        <v>11244834</v>
      </c>
      <c r="W45" s="48">
        <f>W6+W43</f>
        <v>11331411</v>
      </c>
    </row>
    <row r="46" spans="1:25" ht="10.5" customHeight="1" thickTop="1" x14ac:dyDescent="0.25"/>
    <row r="47" spans="1:25" x14ac:dyDescent="0.25">
      <c r="A47" s="7" t="s">
        <v>38</v>
      </c>
    </row>
    <row r="48" spans="1:25" x14ac:dyDescent="0.25">
      <c r="A48" s="17" t="s">
        <v>34</v>
      </c>
    </row>
    <row r="49" spans="1:23" x14ac:dyDescent="0.25">
      <c r="A49" s="13" t="s">
        <v>41</v>
      </c>
      <c r="P49" s="1"/>
      <c r="Q49" s="10"/>
      <c r="R49" s="1"/>
      <c r="S49" s="1"/>
      <c r="T49" s="1"/>
      <c r="U49" s="1"/>
      <c r="V49" s="1"/>
      <c r="W49" s="1"/>
    </row>
  </sheetData>
  <printOptions horizontalCentered="1"/>
  <pageMargins left="0.25" right="0.25" top="0.5" bottom="0.5" header="0.5" footer="0.38"/>
  <pageSetup paperSize="5" scale="91" orientation="landscape" r:id="rId1"/>
  <headerFooter alignWithMargins="0">
    <oddFooter>&amp;L&amp;Z&amp;F&amp;C&amp;"Arial,Bold"&amp;16DRAFT&amp;R&amp;D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EMS Budget</vt:lpstr>
      <vt:lpstr>EMS Projected</vt:lpstr>
      <vt:lpstr>'EMS Budget'!Print_Area</vt:lpstr>
      <vt:lpstr>'EMS Projected'!Print_Area</vt:lpstr>
    </vt:vector>
  </TitlesOfParts>
  <Company>Whatcom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Caldwell</dc:creator>
  <cp:lastModifiedBy>Marianne Caldwell</cp:lastModifiedBy>
  <cp:lastPrinted>2021-09-02T23:14:47Z</cp:lastPrinted>
  <dcterms:created xsi:type="dcterms:W3CDTF">2008-09-11T21:47:14Z</dcterms:created>
  <dcterms:modified xsi:type="dcterms:W3CDTF">2021-09-02T23:15:14Z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